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IxtkMtAFTbjN1f1SU4Xi402C/hMldCg9E3b1XumDZsSVJ2uSMeYYdyoj5d3C5ZmtOda0UI0BKt0w0QQoY+/fKg==" workbookSaltValue="sPApDRE4UCjCQTNy+LRHI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L16" i="2" s="1"/>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BH11" i="16" s="1"/>
  <c r="F16" i="11"/>
  <c r="AQ16" i="11" s="1"/>
  <c r="EP31" i="8"/>
  <c r="AL14" i="16"/>
  <c r="AJ14" i="16"/>
  <c r="EP31" i="19"/>
  <c r="T9" i="11"/>
  <c r="BH16" i="11"/>
  <c r="BF29" i="11"/>
  <c r="S14" i="16"/>
  <c r="P14" i="16"/>
  <c r="F13" i="16"/>
  <c r="Z14" i="17"/>
  <c r="R30" i="17"/>
  <c r="K26" i="2"/>
  <c r="N26" i="2"/>
  <c r="M23" i="2"/>
  <c r="F30" i="17"/>
  <c r="F26" i="17"/>
  <c r="F14" i="7"/>
  <c r="BF22" i="11"/>
  <c r="BM13" i="11"/>
  <c r="BL11" i="11"/>
  <c r="BL21" i="11"/>
  <c r="T18" i="16"/>
  <c r="BG21" i="11"/>
  <c r="BV28" i="16"/>
  <c r="BW13" i="20"/>
  <c r="BU29" i="17"/>
  <c r="BW11" i="20"/>
  <c r="S21" i="17"/>
  <c r="BW28" i="20"/>
  <c r="BU13" i="17"/>
  <c r="S11" i="17"/>
  <c r="BV20" i="16"/>
  <c r="S25" i="17"/>
  <c r="AZ11" i="11"/>
  <c r="P16" i="17"/>
  <c r="BF12" i="11"/>
  <c r="BH25" i="16"/>
  <c r="BK20" i="11"/>
  <c r="BJ10" i="11"/>
  <c r="Q16" i="17"/>
  <c r="BF16" i="11"/>
  <c r="BL22" i="11"/>
  <c r="BI22" i="11"/>
  <c r="BK10" i="11"/>
  <c r="T14" i="20"/>
  <c r="BB26" i="13"/>
  <c r="BF16" i="8"/>
  <c r="BD9" i="8"/>
  <c r="L10" i="2"/>
  <c r="X21" i="20"/>
  <c r="AH14" i="16"/>
  <c r="L18" i="2"/>
  <c r="AO14" i="21"/>
  <c r="X16" i="16"/>
  <c r="X23" i="16" s="1"/>
  <c r="L9" i="2"/>
  <c r="AP14" i="16"/>
  <c r="V25" i="16"/>
  <c r="F11" i="16"/>
  <c r="BL11" i="16" s="1"/>
  <c r="T23" i="17"/>
  <c r="T26" i="17" s="1"/>
  <c r="T30" i="17" s="1"/>
  <c r="U26" i="16"/>
  <c r="BG16" i="13"/>
  <c r="BF17" i="13"/>
  <c r="E32" i="20"/>
  <c r="M32" i="20"/>
  <c r="AI32" i="20"/>
  <c r="AM32" i="20"/>
  <c r="U10" i="11"/>
  <c r="I32" i="20"/>
  <c r="J32" i="20"/>
  <c r="Q32" i="20"/>
  <c r="AK32" i="20"/>
  <c r="AE32" i="20"/>
  <c r="U12" i="11"/>
  <c r="AU32" i="20"/>
  <c r="O18" i="11"/>
  <c r="W32" i="20"/>
  <c r="AJ32" i="20"/>
  <c r="G30" i="14"/>
  <c r="G23" i="14"/>
  <c r="U18" i="11"/>
  <c r="AX32" i="20"/>
  <c r="Y32" i="20"/>
  <c r="L32" i="20"/>
  <c r="AG32" i="20"/>
  <c r="H32" i="20"/>
  <c r="T32" i="21"/>
  <c r="F32" i="20"/>
  <c r="AF32" i="20"/>
  <c r="G26" i="14"/>
  <c r="S32" i="20"/>
  <c r="K32" i="20"/>
  <c r="AQ32" i="21"/>
  <c r="O17" i="11"/>
  <c r="AZ32" i="20"/>
  <c r="G14" i="14"/>
  <c r="R32" i="20"/>
  <c r="BF17" i="8" l="1"/>
  <c r="K30" i="2"/>
  <c r="AL21" i="11"/>
  <c r="AA11" i="16"/>
  <c r="L17" i="2"/>
  <c r="L28" i="2"/>
  <c r="BI21" i="11"/>
  <c r="BH25" i="11"/>
  <c r="AQ12" i="21"/>
  <c r="BH17" i="11"/>
  <c r="BM18" i="11"/>
  <c r="BK17" i="11"/>
  <c r="AZ25" i="11"/>
  <c r="AZ30" i="11" s="1"/>
  <c r="BH21" i="11"/>
  <c r="BL16" i="11"/>
  <c r="BL20" i="11"/>
  <c r="S16" i="16"/>
  <c r="BF20" i="11"/>
  <c r="S22" i="17"/>
  <c r="BU17" i="17"/>
  <c r="BV22" i="16"/>
  <c r="BW10" i="20"/>
  <c r="BU19" i="17"/>
  <c r="BU9" i="17"/>
  <c r="BV11" i="16"/>
  <c r="BV21" i="16"/>
  <c r="BV13" i="16"/>
  <c r="BU25" i="17"/>
  <c r="AP18" i="20"/>
  <c r="BK18" i="11"/>
  <c r="R18" i="20"/>
  <c r="R23" i="20" s="1"/>
  <c r="BG9" i="11"/>
  <c r="BI16" i="11"/>
  <c r="BJ21" i="11"/>
  <c r="BK19" i="11"/>
  <c r="P18" i="17"/>
  <c r="S20" i="14"/>
  <c r="V20" i="14" s="1"/>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AY32" i="16"/>
  <c r="BF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L32" i="21"/>
  <c r="AF32" i="11"/>
  <c r="AK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<sst xmlns="http://schemas.openxmlformats.org/spreadsheetml/2006/main" count="2682" uniqueCount="1192">
  <si>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</si>
  <si>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</si>
  <si>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</si>
  <si>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</si>
  <si>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</si>
  <si>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</si>
  <si>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</si>
  <si>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</si>
  <si>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</si>
  <si>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</si>
  <si>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</si>
  <si>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</si>
  <si>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</si>
  <si>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</si>
  <si>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</si>
  <si>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</si>
  <si>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</si>
  <si>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</si>
  <si>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</si>
  <si>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</si>
  <si>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</si>
  <si>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</si>
  <si>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</si>
  <si>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</si>
  <si>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</si>
  <si>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</si>
  <si>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</si>
  <si>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</si>
  <si>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</si>
  <si>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</si>
  <si>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</si>
  <si>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</si>
  <si>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</si>
  <si>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</si>
  <si>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</si>
  <si>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</si>
  <si>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</si>
  <si>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</si>
  <si>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</si>
  <si>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</si>
  <si>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</si>
  <si>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</si>
  <si>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</si>
  <si>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</si>
  <si>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</si>
  <si>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</si>
  <si>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</si>
  <si>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</si>
  <si>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</si>
  <si>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</si>
  <si>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</si>
  <si>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</si>
  <si>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</si>
  <si>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</si>
  <si>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</si>
  <si>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</si>
  <si>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</si>
  <si>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</si>
  <si>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</si>
  <si>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</si>
  <si>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</si>
  <si>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</si>
  <si>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</si>
  <si>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</si>
  <si>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</si>
  <si>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</si>
  <si>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</si>
  <si>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</si>
  <si>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</si>
  <si>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</si>
  <si>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</si>
  <si>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</si>
  <si>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</si>
  <si>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</si>
  <si>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</si>
  <si>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</si>
  <si>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</si>
  <si>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</si>
  <si>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</si>
  <si>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</si>
  <si>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</si>
  <si>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</si>
  <si>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</si>
  <si>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</si>
  <si>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</si>
  <si>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</si>
  <si>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</si>
  <si>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</si>
  <si>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</si>
  <si>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</si>
  <si>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</si>
  <si>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</si>
  <si>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</si>
  <si>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</si>
  <si>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</si>
  <si>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</si>
  <si>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</si>
  <si>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</si>
  <si>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</si>
  <si>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</si>
  <si>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</si>
  <si>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</si>
  <si>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</si>
  <si>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</si>
  <si>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</si>
  <si>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</si>
  <si>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</si>
  <si>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</si>
  <si>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</si>
  <si>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</si>
  <si>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</si>
  <si>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</si>
  <si>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</si>
  <si>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</si>
  <si>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</si>
  <si>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</si>
  <si>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</si>
  <si>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</si>
  <si>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</si>
  <si>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</si>
  <si>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</si>
  <si>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</si>
  <si>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</si>
  <si>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</si>
  <si>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</si>
  <si>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</si>
  <si>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</si>
  <si>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</si>
  <si>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</si>
  <si>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</si>
  <si>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</si>
  <si>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</si>
  <si>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</si>
  <si>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</si>
  <si>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</si>
  <si>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</si>
  <si>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</si>
  <si>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</si>
  <si>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</si>
  <si>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</si>
  <si>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</si>
  <si>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</si>
  <si>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</si>
  <si>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</si>
  <si>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</si>
  <si>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</si>
  <si>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</si>
  <si>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</si>
  <si>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</si>
  <si>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</si>
  <si>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</si>
  <si>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</si>
  <si>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</si>
  <si>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</si>
  <si>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</si>
  <si>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</si>
  <si>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</si>
  <si>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</si>
  <si>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</si>
  <si>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</si>
  <si>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</si>
  <si>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</si>
  <si>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</si>
  <si>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</si>
  <si>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</si>
  <si>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</si>
  <si>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</si>
  <si>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</si>
  <si>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</si>
  <si>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</si>
  <si>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</si>
  <si>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</si>
  <si>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</si>
  <si>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</si>
  <si>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</si>
  <si>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</si>
  <si>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</si>
  <si>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</si>
  <si>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</si>
  <si>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</si>
  <si>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</si>
  <si>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</si>
  <si>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</si>
  <si>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</si>
  <si>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</si>
  <si>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</si>
  <si>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</si>
  <si>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</si>
  <si>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</si>
  <si>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</si>
  <si>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</si>
  <si>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</si>
  <si>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</si>
  <si>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</si>
  <si>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</si>
  <si>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</si>
  <si>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</si>
  <si>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</si>
  <si>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</si>
  <si>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</si>
  <si>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</si>
  <si>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</si>
  <si>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</si>
  <si>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</si>
  <si>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</si>
  <si>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</si>
  <si>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</si>
  <si>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</si>
  <si>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</si>
  <si>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</si>
  <si>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</si>
  <si>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</si>
  <si>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</si>
  <si>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</si>
  <si>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</si>
  <si>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</si>
  <si>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</si>
  <si>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</si>
  <si>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</si>
  <si>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</si>
  <si>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</si>
  <si>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</si>
  <si>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</si>
  <si>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</si>
  <si>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</si>
  <si>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</si>
  <si>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</si>
  <si>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</si>
  <si>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</si>
  <si>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</si>
  <si>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</si>
  <si>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</si>
  <si>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</si>
  <si>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</si>
  <si>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</si>
  <si>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</si>
  <si>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</si>
  <si>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</si>
  <si>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</si>
  <si>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</si>
  <si>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</si>
  <si>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</si>
  <si>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</si>
  <si>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</si>
  <si>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</si>
  <si>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</si>
  <si>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</si>
  <si>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</si>
  <si>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</si>
  <si>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</si>
  <si>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</si>
  <si>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</si>
  <si>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</si>
  <si>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</si>
  <si>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</si>
  <si>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</si>
  <si>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</si>
  <si>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</si>
  <si>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</si>
  <si>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</si>
  <si>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</si>
  <si>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</si>
  <si>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</si>
  <si>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</si>
  <si>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</si>
  <si>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</si>
  <si>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</si>
  <si>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</si>
  <si>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</si>
  <si>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</si>
  <si>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</si>
  <si>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</si>
  <si>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</si>
  <si>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</si>
  <si>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</si>
  <si>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</si>
  <si>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</si>
  <si>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</si>
  <si>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</si>
  <si>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</si>
  <si>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</si>
  <si>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</si>
  <si>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</si>
  <si>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</si>
  <si>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</si>
  <si>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</si>
  <si>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</si>
  <si>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</si>
  <si>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</si>
  <si>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</si>
  <si>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</si>
  <si>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</si>
  <si>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</si>
  <si>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</si>
  <si>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</si>
  <si>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</si>
  <si>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</si>
  <si>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</si>
  <si>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</si>
  <si>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</si>
  <si>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</si>
  <si>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</si>
  <si>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</si>
  <si>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</si>
  <si>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</si>
  <si>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</si>
  <si>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</si>
  <si>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</si>
  <si>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</si>
  <si>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</si>
  <si>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</si>
  <si>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</si>
  <si>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</si>
  <si>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</si>
  <si>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</si>
  <si>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</si>
  <si>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</si>
  <si>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</si>
  <si>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</si>
  <si>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</si>
  <si>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</si>
  <si>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</si>
  <si>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</si>
  <si>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</si>
  <si>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</si>
  <si>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</si>
  <si>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</si>
  <si>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</si>
  <si>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</si>
  <si>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</si>
  <si>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</si>
  <si>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</si>
  <si>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</si>
  <si>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</si>
  <si>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</si>
  <si>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</si>
  <si>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</si>
  <si>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</si>
  <si>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</si>
  <si>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</si>
  <si>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</si>
  <si>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</si>
  <si>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</si>
  <si>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</si>
  <si>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</si>
  <si>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</si>
  <si>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</si>
  <si>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</si>
  <si>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</si>
  <si>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</si>
  <si>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</si>
  <si>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</si>
  <si>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</si>
  <si>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</si>
  <si>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</si>
  <si>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</si>
  <si>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</si>
  <si>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</si>
  <si>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</si>
  <si>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</si>
  <si>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</si>
  <si>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</si>
  <si>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</si>
  <si>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</si>
  <si>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</si>
  <si>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</si>
  <si>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</si>
  <si>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</si>
  <si>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</si>
  <si>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</si>
  <si>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</si>
  <si>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</si>
  <si>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</si>
  <si>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</si>
  <si>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</si>
  <si>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</si>
  <si>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</si>
  <si>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</si>
  <si>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</si>
  <si>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</si>
  <si>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</si>
  <si>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</si>
  <si>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</si>
  <si>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</si>
  <si>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</si>
  <si>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</si>
  <si>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</si>
  <si>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</si>
  <si>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</si>
  <si>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</si>
  <si>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</si>
  <si>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</si>
  <si>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</si>
  <si>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</si>
  <si>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</si>
  <si>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</si>
  <si>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</si>
  <si>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</si>
  <si>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</si>
  <si>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</si>
  <si>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</si>
  <si>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</si>
  <si>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</si>
  <si>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</si>
  <si>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</si>
  <si>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</si>
  <si>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</si>
  <si>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</si>
  <si>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</si>
  <si>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</si>
  <si>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</si>
  <si>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</si>
  <si>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</si>
  <si>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</si>
  <si>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</si>
  <si>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</si>
  <si>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</si>
  <si>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</si>
  <si>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</si>
  <si>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</si>
  <si>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</si>
  <si>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</si>
  <si>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</si>
  <si>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</si>
  <si>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</si>
  <si>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</si>
  <si>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</si>
  <si>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</si>
  <si>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</si>
  <si>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</si>
  <si>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</si>
  <si>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</si>
  <si>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</si>
  <si>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</si>
  <si>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</si>
  <si>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</si>
  <si>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</si>
  <si>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</si>
  <si>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</si>
  <si>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</si>
  <si>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</si>
  <si>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</si>
  <si>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</si>
  <si>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</si>
  <si>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</si>
  <si>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</si>
  <si>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</si>
  <si>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</si>
  <si>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</si>
  <si>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</si>
  <si>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</si>
  <si>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</si>
  <si>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</si>
  <si>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</si>
  <si>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</si>
  <si>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</si>
  <si>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</si>
  <si>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</si>
  <si>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</si>
  <si>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</si>
  <si>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</si>
  <si>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</si>
  <si>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</si>
  <si>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</si>
  <si>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</si>
  <si>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</si>
  <si>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</si>
  <si>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</si>
  <si>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</si>
  <si>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</si>
  <si>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</si>
  <si>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</si>
  <si>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</si>
  <si>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</si>
  <si>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</si>
  <si>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</si>
  <si>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</si>
  <si>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</si>
  <si>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</si>
  <si>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</si>
  <si>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</si>
  <si>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</si>
  <si>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</si>
  <si>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</si>
  <si>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</si>
  <si>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</si>
  <si>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</si>
  <si>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</si>
  <si>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</si>
  <si>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</si>
  <si>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</si>
  <si>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</si>
  <si>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</si>
  <si>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</si>
  <si>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</si>
  <si>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</si>
  <si>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</si>
  <si>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</si>
  <si>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</si>
  <si>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</si>
  <si>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</si>
  <si>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</si>
  <si>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</si>
  <si>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</si>
  <si>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</si>
  <si>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</si>
  <si>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</si>
  <si>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</si>
  <si>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</si>
  <si>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</si>
  <si>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</si>
  <si>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</si>
  <si>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</si>
  <si>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</si>
  <si>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</si>
  <si>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</si>
  <si>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</si>
  <si>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</si>
  <si>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</si>
  <si>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</si>
  <si>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</si>
  <si>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</si>
  <si>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</si>
  <si>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</si>
  <si>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</si>
  <si>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</si>
  <si>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</si>
  <si>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</si>
  <si>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</si>
  <si>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</si>
  <si>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</si>
  <si>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</si>
  <si>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</si>
  <si>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</si>
  <si>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</si>
  <si>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</si>
  <si>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</si>
  <si>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</si>
  <si>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</si>
  <si>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</si>
  <si>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</si>
  <si>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</si>
  <si>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</si>
  <si>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</si>
  <si>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</si>
  <si>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</si>
  <si>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</si>
  <si>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</si>
  <si>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</si>
  <si>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</si>
  <si>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</si>
  <si>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</si>
  <si>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</si>
  <si>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</si>
  <si>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</si>
  <si>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</si>
  <si>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</si>
  <si>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</si>
  <si>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</si>
  <si>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</si>
  <si>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</si>
  <si>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</si>
  <si>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</si>
  <si>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</si>
  <si>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</si>
  <si>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</si>
  <si>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</si>
  <si>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</si>
  <si>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</si>
  <si>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</si>
  <si>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</si>
  <si>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</si>
  <si>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</si>
  <si>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</si>
  <si>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</si>
  <si>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</si>
  <si>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</si>
  <si>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</si>
  <si>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</si>
  <si>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</si>
  <si>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</si>
  <si>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</si>
  <si>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</si>
  <si>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</si>
  <si>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</si>
  <si>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</si>
  <si>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</si>
  <si>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</si>
  <si>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</si>
  <si>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</si>
  <si>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</si>
  <si>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</si>
  <si>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</si>
  <si>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</si>
  <si>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</si>
  <si>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</si>
  <si>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</si>
  <si>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</si>
  <si>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</si>
  <si>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</si>
  <si>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</si>
  <si>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</si>
  <si>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</si>
  <si>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</si>
  <si>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</si>
  <si>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</si>
  <si>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</si>
  <si>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</si>
  <si>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</si>
  <si>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</si>
  <si>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</si>
  <si>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</si>
  <si>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</si>
  <si>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</si>
  <si>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</si>
  <si>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</si>
  <si>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</si>
  <si>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</si>
  <si>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</si>
  <si>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</si>
  <si>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</si>
  <si>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</si>
  <si>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</si>
  <si>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</si>
  <si>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</si>
  <si>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</si>
  <si>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</si>
  <si>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</si>
  <si>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</si>
  <si>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</si>
  <si>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</si>
  <si>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</si>
  <si>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</si>
  <si>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</si>
  <si>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</si>
  <si>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</si>
  <si>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</si>
  <si>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</si>
  <si>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</si>
  <si>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</si>
  <si>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</si>
  <si>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</si>
  <si>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</si>
  <si>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</si>
  <si>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</si>
  <si>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</si>
  <si>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</si>
  <si>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</si>
  <si>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</si>
  <si>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</si>
  <si>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</si>
  <si>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</si>
  <si>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</si>
  <si>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</si>
  <si>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</si>
  <si>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</si>
  <si>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</si>
  <si>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</si>
  <si>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</si>
  <si>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</si>
  <si>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</si>
  <si>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</si>
  <si>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</si>
  <si>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</si>
  <si>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</si>
  <si>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</si>
  <si>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</si>
  <si>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</si>
  <si>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</si>
  <si>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</si>
  <si>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</si>
  <si>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</si>
  <si>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</si>
  <si>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</si>
  <si>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</si>
  <si>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</si>
  <si>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</si>
  <si>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</si>
  <si>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</si>
  <si>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</si>
  <si>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</si>
  <si>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</si>
  <si>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</si>
  <si>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</si>
  <si>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</si>
  <si>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</si>
  <si>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</si>
  <si>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</si>
  <si>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</si>
  <si>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</si>
  <si>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</si>
  <si>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</si>
  <si>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</si>
  <si>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</si>
  <si>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</si>
  <si>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</si>
  <si>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</si>
  <si>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</si>
  <si>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</si>
  <si>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</si>
  <si>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</si>
  <si>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</si>
  <si>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</si>
  <si>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</si>
  <si>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</si>
  <si>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</si>
  <si>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</si>
  <si>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</si>
  <si>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</si>
  <si>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</si>
  <si>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</si>
  <si>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</si>
  <si>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</si>
  <si>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</si>
  <si>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</si>
  <si>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</si>
  <si>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</si>
  <si>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</si>
  <si>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</si>
  <si>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</si>
  <si>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</si>
  <si>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</si>
  <si>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</si>
  <si>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</si>
  <si>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</si>
  <si>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</si>
  <si>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</si>
  <si>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</si>
  <si>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</si>
  <si>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</si>
  <si>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</si>
  <si>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</si>
  <si>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</si>
  <si>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</si>
  <si>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</si>
  <si>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</si>
  <si>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</si>
  <si>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</si>
  <si>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</si>
  <si>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</si>
  <si>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</si>
  <si>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</si>
  <si>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</si>
  <si>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</si>
  <si>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</si>
  <si>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</si>
  <si>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</si>
  <si>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</si>
  <si>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</si>
  <si>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</si>
  <si>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</si>
  <si>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</si>
  <si>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</si>
  <si>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</si>
  <si>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</si>
  <si>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</si>
  <si>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</si>
  <si>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</si>
  <si>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</si>
  <si>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</si>
  <si>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</si>
  <si>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</si>
  <si>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</si>
  <si>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</si>
  <si>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</si>
  <si>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</si>
  <si>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</si>
  <si>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</si>
  <si>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</si>
  <si>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</si>
  <si>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</si>
  <si>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</si>
  <si>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</si>
  <si>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</si>
  <si>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</si>
  <si>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</si>
  <si>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</si>
  <si>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</si>
  <si>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</si>
  <si>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</si>
  <si>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</si>
  <si>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</si>
  <si>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</si>
  <si>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</si>
  <si>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</si>
  <si>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</si>
  <si>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</si>
  <si>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</si>
  <si>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</si>
  <si>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</si>
  <si>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</si>
  <si>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</si>
  <si>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</si>
  <si>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</si>
  <si>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</si>
  <si>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</si>
  <si>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</si>
  <si>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</si>
  <si>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</si>
  <si>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</si>
  <si>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</si>
  <si>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</si>
  <si>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</si>
  <si>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</si>
  <si>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</si>
  <si>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</si>
  <si>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</si>
  <si>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</si>
  <si>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</si>
  <si>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</si>
  <si>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</si>
  <si>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</si>
  <si>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</si>
  <si>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</si>
  <si>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</si>
  <si>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</si>
  <si>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</si>
  <si>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</si>
  <si>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</si>
  <si>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</si>
  <si>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</si>
  <si>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</si>
  <si>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</si>
  <si>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</si>
  <si>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</si>
  <si>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</si>
  <si>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</si>
  <si>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</si>
  <si>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</si>
  <si>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</si>
  <si>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</si>
  <si>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</si>
  <si>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</si>
  <si>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</si>
  <si>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</si>
  <si>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</si>
  <si>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</si>
  <si>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</si>
  <si>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</si>
  <si>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</si>
  <si>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</si>
  <si>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</si>
  <si>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</si>
  <si>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</si>
  <si>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</si>
  <si>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</si>
  <si>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</si>
  <si>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</si>
  <si>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</si>
  <si>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</si>
  <si>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</si>
  <si>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</si>
  <si>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</si>
  <si>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</si>
  <si>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</si>
  <si>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</si>
  <si>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</si>
  <si>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</si>
  <si>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</si>
  <si>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</si>
  <si>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</si>
  <si>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</si>
  <si>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</si>
  <si>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</si>
  <si>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</si>
  <si>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</si>
  <si>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</si>
  <si>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</si>
  <si>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</si>
  <si>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</si>
  <si>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</si>
  <si>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</si>
  <si>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</si>
  <si>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</si>
  <si>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</si>
  <si>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</si>
  <si>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</si>
  <si>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</si>
  <si>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</si>
  <si>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</si>
  <si>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</si>
  <si>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</si>
  <si>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</si>
  <si>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</si>
  <si>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</si>
  <si>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</si>
  <si>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</si>
  <si>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</si>
  <si>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</si>
  <si>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</si>
  <si>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</si>
  <si>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</si>
  <si>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</si>
  <si>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</si>
  <si>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</si>
  <si>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</si>
  <si>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</si>
  <si>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</si>
  <si>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</si>
  <si>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</si>
  <si>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</si>
  <si>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</si>
  <si>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</si>
  <si>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</si>
  <si>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</si>
  <si>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</si>
  <si>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</si>
  <si>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</si>
  <si>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</si>
  <si>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</si>
  <si>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</si>
  <si>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</si>
  <si>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</si>
  <si>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</si>
  <si>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</si>
  <si>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</si>
  <si>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</si>
  <si>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</si>
  <si>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</si>
  <si>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</si>
  <si>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</si>
  <si>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</si>
  <si>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</si>
  <si>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</si>
  <si>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</si>
  <si>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</si>
  <si>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</si>
  <si>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</si>
  <si>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</si>
  <si>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</si>
  <si>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</si>
  <si>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</si>
  <si>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</si>
  <si>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</si>
  <si>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</si>
  <si>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</si>
  <si>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</si>
  <si>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</si>
  <si>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</si>
  <si>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</si>
  <si>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</si>
  <si>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</si>
  <si>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</si>
  <si>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</si>
  <si>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</si>
  <si>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</si>
  <si>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</si>
  <si>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</si>
  <si>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</si>
  <si>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</si>
  <si>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</si>
  <si>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</si>
  <si>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</si>
  <si>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</si>
  <si>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</si>
  <si>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</si>
  <si>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</si>
  <si>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</si>
  <si>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</si>
  <si>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</si>
  <si>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</si>
  <si>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</si>
  <si>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</si>
  <si>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</si>
  <si>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</si>
  <si>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</si>
  <si>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</si>
  <si>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</si>
  <si>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</si>
  <si>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</si>
  <si>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</si>
  <si>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</si>
  <si>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</si>
  <si>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</si>
  <si>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</si>
  <si>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</si>
  <si>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</si>
  <si>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</si>
  <si>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</si>
  <si>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</si>
  <si>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</si>
  <si>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</si>
  <si>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</si>
  <si>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</si>
  <si>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</si>
  <si>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</si>
  <si>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</si>
  <si>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</si>
  <si>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</si>
  <si>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</si>
  <si>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</si>
  <si>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</si>
  <si>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</si>
  <si>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</si>
  <si>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</si>
  <si>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</si>
  <si>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</si>
  <si>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</si>
  <si>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</si>
  <si>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</si>
  <si>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</si>
  <si>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</si>
  <si>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</si>
  <si>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</si>
  <si>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</si>
  <si>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</si>
  <si>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</si>
  <si>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</si>
  <si>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</si>
  <si>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</si>
  <si>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</si>
  <si>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</si>
  <si>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</si>
  <si>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</si>
  <si>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</si>
  <si>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</si>
  <si>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</si>
  <si>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</si>
  <si>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</si>
  <si>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</si>
  <si>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</si>
  <si>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</si>
  <si>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</si>
  <si>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</si>
  <si>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</si>
  <si>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</si>
  <si>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</si>
  <si>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</si>
  <si>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</si>
  <si>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</si>
  <si>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</si>
  <si>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</si>
  <si>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</si>
  <si>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</si>
  <si>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</si>
  <si>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</si>
  <si>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</si>
  <si>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</si>
  <si>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</si>
  <si>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</si>
  <si>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</si>
  <si>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</si>
  <si>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</si>
  <si>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</si>
  <si>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</si>
  <si>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</si>
  <si>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</si>
  <si>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</si>
  <si>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</si>
  <si>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</si>
  <si>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</si>
  <si>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</si>
  <si>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</si>
  <si>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</si>
  <si>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</si>
  <si>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</si>
  <si>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</si>
  <si>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</si>
  <si>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</si>
  <si>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</si>
  <si>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</si>
  <si>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</si>
  <si>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</si>
  <si>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</si>
  <si>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</si>
  <si>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</si>
  <si>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</si>
  <si>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</si>
  <si>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</si>
  <si>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</si>
  <si>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</si>
  <si>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</si>
  <si>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</si>
  <si>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</si>
  <si>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</si>
  <si>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</si>
  <si>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</si>
  <si>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</si>
  <si>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</si>
  <si>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</si>
  <si>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</si>
  <si>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</si>
  <si>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</si>
  <si>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</si>
  <si>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</si>
  <si>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</si>
  <si>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</si>
  <si>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</si>
  <si>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</si>
  <si>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</si>
  <si>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</si>
  <si>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</si>
  <si>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</si>
  <si>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</si>
  <si>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</si>
  <si>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</si>
  <si>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</si>
  <si>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</si>
  <si>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</si>
  <si>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</si>
  <si>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</si>
  <si>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</si>
  <si>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</si>
  <si>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</si>
  <si>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</si>
  <si>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</si>
  <si>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</si>
  <si>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</si>
  <si>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</si>
  <si>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</si>
  <si>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</si>
  <si>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</si>
  <si>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</si>
  <si>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</si>
  <si>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</si>
  <si>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</si>
  <si>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</si>
  <si>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</si>
  <si>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</si>
  <si>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</si>
  <si>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</si>
  <si>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</si>
  <si>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</si>
  <si>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</si>
  <si>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</si>
  <si>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</si>
  <si>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</si>
  <si>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</si>
  <si>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</si>
  <si>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</si>
  <si>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</si>
  <si>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</si>
  <si>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</si>
  <si>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</si>
  <si>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</si>
  <si>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</si>
  <si>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</si>
  <si>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</si>
  <si>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</si>
  <si>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</si>
  <si>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</si>
  <si>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</si>
  <si>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</si>
  <si>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</si>
  <si>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</si>
  <si>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</si>
  <si>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</si>
  <si>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</si>
  <si>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</si>
  <si>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</si>
  <si>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</si>
  <si>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</si>
  <si>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</si>
  <si>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</si>
  <si>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</si>
  <si>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</si>
  <si>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</si>
  <si>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</si>
  <si>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</si>
  <si>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</si>
  <si>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</si>
  <si>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</si>
  <si>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</si>
  <si>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</si>
  <si>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</si>
  <si>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</si>
  <si>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</si>
  <si>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</si>
  <si>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</si>
  <si>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</si>
  <si>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</si>
  <si>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</si>
  <si>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</si>
  <si>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</si>
  <si>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</si>
  <si>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</si>
  <si>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</si>
  <si>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</si>
  <si>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</si>
  <si>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</si>
  <si>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</si>
  <si>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</si>
  <si>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</si>
  <si>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</si>
  <si>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</si>
  <si>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</si>
  <si>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</si>
  <si>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</si>
  <si>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</si>
  <si>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</si>
  <si>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</si>
  <si>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COLMENAR VIEJO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</si>
</sst>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tCyHR6BrIotXPsiSUgxPCyZNJjvIJBRB8K7J0yia7AqC9W5IjaL42+WCRJ/vv6SCjPJ2QZOo7De1WQIA+t92A==" saltValue="4jK7lrLBmHKg4ERcSGhq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53</v>
      </c>
      <c r="D10" s="239">
        <f>IF(ISNUMBER(Datos!I10),Datos!I10," - ")</f>
        <v>69</v>
      </c>
      <c r="E10" s="240">
        <f>IF(ISNUMBER(Datos!J10),Datos!J10," - ")</f>
        <v>5</v>
      </c>
      <c r="F10" s="240">
        <f>IF(ISNUMBER(Datos!K10),Datos!K10," - ")</f>
        <v>3</v>
      </c>
      <c r="G10" s="1390" t="str">
        <f>IF(Datos!E10&lt;&gt;"",Datos!E10,Datos!D10)</f>
        <v>37</v>
      </c>
      <c r="H10" s="241">
        <f>IF(ISNUMBER(Datos!L10),Datos!L10," - ")</f>
        <v>55</v>
      </c>
      <c r="I10" s="1400" t="str">
        <f>IF(ISNUMBER(Datos!AS10/Datos!BM10),Datos!AS10/Datos!BM10," - ")</f>
        <v xml:space="preserve"> - </v>
      </c>
      <c r="J10" s="1401">
        <f>IF(ISNUMBER(Datos!BY10/Datos!CN10),Datos!BY10/Datos!CN10," - ")</f>
        <v>0</v>
      </c>
      <c r="K10" s="244">
        <f t="shared" ref="K10:K13" si="1">IF(ISNUMBER((E10-F10)/C10),(E10-F10)/C10," - ")</f>
        <v>3.7735849056603772E-2</v>
      </c>
      <c r="L10" s="1402">
        <f>IF(ISNUMBER(NºAsuntos!I10/NºAsuntos!G10),(NºAsuntos!I10/NºAsuntos!G10)*11," - ")</f>
        <v>201.66666666666666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34.45064054257724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53</v>
      </c>
      <c r="D14" s="1407">
        <f>SUBTOTAL(9,D9:D13)</f>
        <v>69</v>
      </c>
      <c r="E14" s="1408">
        <f>SUBTOTAL(9,E9:E13)</f>
        <v>5</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1003</v>
      </c>
      <c r="D17" s="239">
        <f>IF(ISNUMBER(IF(D_I="SI",Datos!I17,Datos!I17+Datos!AC17)),IF(D_I="SI",Datos!I17,Datos!I17+Datos!AC17)," - ")</f>
        <v>992</v>
      </c>
      <c r="E17" s="240">
        <f>IF(ISNUMBER(IF(D_I="SI",Datos!J17,Datos!J17+Datos!AD17)),IF(D_I="SI",Datos!J17,Datos!J17+Datos!AD17)," - ")</f>
        <v>1202</v>
      </c>
      <c r="F17" s="240">
        <f>IF(ISNUMBER(IF(D_I="SI",Datos!K17,Datos!K17+Datos!AE17)),IF(D_I="SI",Datos!K17,Datos!K17+Datos!AE17)," - ")</f>
        <v>1081</v>
      </c>
      <c r="G17" s="1390" t="str">
        <f>IF(Datos!E17&lt;&gt;"",Datos!E17,Datos!D17)</f>
        <v>04</v>
      </c>
      <c r="H17" s="241">
        <f>IF(ISNUMBER(IF(D_I="SI",Datos!L17,Datos!L17+Datos!AF17)),IF(D_I="SI",Datos!L17,Datos!L17+Datos!AF17)," - ")</f>
        <v>1124</v>
      </c>
      <c r="I17" s="1400" t="str">
        <f>IF(ISNUMBER(Datos!AS17/Datos!BM17),Datos!AS17/Datos!BM17," - ")</f>
        <v xml:space="preserve"> - </v>
      </c>
      <c r="J17" s="1401">
        <f>IF(ISNUMBER(Datos!BY17/Datos!CN17),Datos!BY17/Datos!CN17," - ")</f>
        <v>0</v>
      </c>
      <c r="K17" s="244">
        <f t="shared" si="3"/>
        <v>0.12063808574277168</v>
      </c>
      <c r="L17" s="1402">
        <f>IF(ISNUMBER(NºAsuntos!I17/NºAsuntos!G17),(NºAsuntos!I17/NºAsuntos!G17)*11," - ")</f>
        <v>11.437557816836264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152</v>
      </c>
      <c r="D18" s="239">
        <f>IF(ISNUMBER(IF(D_I="SI",Datos!I18,Datos!I18+Datos!AC18)),IF(D_I="SI",Datos!I18,Datos!I18+Datos!AC18)," - ")</f>
        <v>146</v>
      </c>
      <c r="E18" s="240">
        <f>IF(ISNUMBER(IF(D_I="SI",Datos!J18,Datos!J18+Datos!AD18)),IF(D_I="SI",Datos!J18,Datos!J18+Datos!AD18)," - ")</f>
        <v>159</v>
      </c>
      <c r="F18" s="240">
        <f>IF(ISNUMBER(IF(D_I="SI",Datos!K18,Datos!K18+Datos!AE18)),IF(D_I="SI",Datos!K18,Datos!K18+Datos!AE18)," - ")</f>
        <v>110</v>
      </c>
      <c r="G18" s="1390" t="str">
        <f>IF(Datos!E18&lt;&gt;"",Datos!E18,Datos!D18)</f>
        <v>37</v>
      </c>
      <c r="H18" s="241">
        <f>IF(ISNUMBER(IF(D_I="SI",Datos!L18,Datos!L18+Datos!AF18)),IF(D_I="SI",Datos!L18,Datos!L18+Datos!AF18)," - ")</f>
        <v>201</v>
      </c>
      <c r="I18" s="1400" t="str">
        <f>IF(ISNUMBER(Datos!AS18/Datos!BM18),Datos!AS18/Datos!BM18," - ")</f>
        <v xml:space="preserve"> - </v>
      </c>
      <c r="J18" s="1401" t="str">
        <f>IF(ISNUMBER((Datos!BY18+Datos!BZ18)/Datos!CN18),(Datos!BY18+Datos!BZ18)/Datos!CN18," - ")</f>
        <v xml:space="preserve"> - </v>
      </c>
      <c r="K18" s="244">
        <f t="shared" si="3"/>
        <v>0.32236842105263158</v>
      </c>
      <c r="L18" s="1402">
        <f>IF(ISNUMBER(NºAsuntos!I18/NºAsuntos!G18),(NºAsuntos!I18/NºAsuntos!G18)*11," - ")</f>
        <v>20.100000000000001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1155</v>
      </c>
      <c r="D23" s="1407">
        <f>SUBTOTAL(9,D16:D22)</f>
        <v>1138</v>
      </c>
      <c r="E23" s="1408">
        <f>SUBTOTAL(9,E16:E22)</f>
        <v>1361</v>
      </c>
      <c r="F23" s="1408">
        <f>SUBTOTAL(9,F16:F22)</f>
        <v>1191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1208</v>
      </c>
      <c r="D31" s="1435">
        <f>SUBTOTAL(9,D9:D30)</f>
        <v>1207</v>
      </c>
      <c r="E31" s="1436">
        <f>SUBTOTAL(9,E9:E30)</f>
        <v>1366</v>
      </c>
      <c r="F31" s="1436">
        <f>SUBTOTAL(9,F9:F30)</f>
        <v>1194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UzWrMTIHTdTJnW8t+Xv9smsB8p6BFAuq4FlHCO2T3/vm4FLDTkSymsGehV0d1KS/peperE6ouaP9H0k+9Jzbw==" saltValue="vKbhiW4LFakV8ioSDKpW9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HeDMZWNXGVe3k4Xd6SjmR+bSsweNfDukVtrJNL/8PrClsO5dCvkrhhiPlIgKf5uFMygVYoL2F+DxuDZIxS4nw==" saltValue="GLqcMHdhAx0EEyCONcqB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69</v>
      </c>
      <c r="J10" s="194">
        <v>5</v>
      </c>
      <c r="K10" s="194">
        <v>3</v>
      </c>
      <c r="L10" s="194">
        <v>55</v>
      </c>
      <c r="M10" s="194">
        <v>3</v>
      </c>
      <c r="N10" s="194">
        <v>0</v>
      </c>
      <c r="O10" s="194">
        <v>0</v>
      </c>
      <c r="P10" s="194">
        <v>0</v>
      </c>
      <c r="Q10" s="194">
        <v>0</v>
      </c>
      <c r="R10" s="194">
        <v>25</v>
      </c>
      <c r="S10" s="194">
        <v>69</v>
      </c>
      <c r="T10" s="194">
        <v>0</v>
      </c>
      <c r="U10" s="194">
        <v>0</v>
      </c>
      <c r="V10" s="194">
        <v>69</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69</v>
      </c>
      <c r="AZ10" s="139">
        <f t="shared" si="0"/>
        <v>0</v>
      </c>
      <c r="BA10" s="139">
        <f t="shared" si="0"/>
        <v>0</v>
      </c>
      <c r="BB10" s="139">
        <f t="shared" si="0"/>
        <v>69</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3764</v>
      </c>
      <c r="J12" s="196">
        <v>1354</v>
      </c>
      <c r="K12" s="196">
        <v>1153</v>
      </c>
      <c r="L12" s="196">
        <v>3865</v>
      </c>
      <c r="M12" s="196">
        <v>215</v>
      </c>
      <c r="N12" s="196">
        <v>709</v>
      </c>
      <c r="O12" s="194">
        <v>453</v>
      </c>
      <c r="P12" s="196">
        <v>243</v>
      </c>
      <c r="Q12" s="196">
        <v>220</v>
      </c>
      <c r="R12" s="196">
        <v>5628</v>
      </c>
      <c r="S12" s="196">
        <v>3459</v>
      </c>
      <c r="T12" s="196">
        <v>1451</v>
      </c>
      <c r="U12" s="196">
        <v>1325</v>
      </c>
      <c r="V12" s="196">
        <v>3290</v>
      </c>
      <c r="W12" s="196">
        <v>173</v>
      </c>
      <c r="X12" s="202">
        <v>829</v>
      </c>
      <c r="Y12" s="204">
        <v>310</v>
      </c>
      <c r="Z12" s="194">
        <v>175</v>
      </c>
      <c r="AA12" s="194">
        <v>174</v>
      </c>
      <c r="AB12" s="194">
        <v>291</v>
      </c>
      <c r="AC12" s="196">
        <v>0</v>
      </c>
      <c r="AD12" s="196">
        <v>0</v>
      </c>
      <c r="AE12" s="196">
        <v>0</v>
      </c>
      <c r="AF12" s="202">
        <v>0</v>
      </c>
      <c r="AG12" s="215">
        <v>318</v>
      </c>
      <c r="AH12" s="196">
        <v>144</v>
      </c>
      <c r="AI12" s="196">
        <v>154</v>
      </c>
      <c r="AJ12" s="216">
        <v>300</v>
      </c>
      <c r="AK12" s="195">
        <v>0</v>
      </c>
      <c r="AL12" s="196">
        <v>0</v>
      </c>
      <c r="AM12" s="196">
        <v>0</v>
      </c>
      <c r="AN12" s="202">
        <v>0</v>
      </c>
      <c r="AO12" s="283">
        <v>6</v>
      </c>
      <c r="AP12" s="168">
        <v>6</v>
      </c>
      <c r="AQ12" s="168">
        <v>6</v>
      </c>
      <c r="AR12" s="167">
        <v>6</v>
      </c>
      <c r="AS12" s="381" t="s">
        <v>1075</v>
      </c>
      <c r="AT12" s="216"/>
      <c r="AU12" s="215"/>
      <c r="AV12" s="216"/>
      <c r="AW12" s="215"/>
      <c r="AX12" s="216"/>
      <c r="AY12" s="136">
        <f t="shared" si="1"/>
        <v>3777</v>
      </c>
      <c r="AZ12" s="137">
        <f t="shared" si="1"/>
        <v>1595</v>
      </c>
      <c r="BA12" s="137">
        <f t="shared" si="1"/>
        <v>1479</v>
      </c>
      <c r="BB12" s="137">
        <f t="shared" si="1"/>
        <v>3590</v>
      </c>
      <c r="BC12" s="135">
        <f>IF(ISNUMBER(X12),X12," - ")</f>
        <v>829</v>
      </c>
      <c r="BD12" s="136">
        <f t="shared" si="2"/>
        <v>0.92727272727272725</v>
      </c>
      <c r="BE12" s="137">
        <f t="shared" si="3"/>
        <v>2.4273157538877621</v>
      </c>
      <c r="BF12" s="137">
        <f t="shared" si="4"/>
        <v>0.56051386071670051</v>
      </c>
      <c r="BG12" s="209">
        <f t="shared" si="5"/>
        <v>3.632183908045977</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3833</v>
      </c>
      <c r="J14" s="197">
        <f t="shared" si="7"/>
        <v>1359</v>
      </c>
      <c r="K14" s="197">
        <f t="shared" si="7"/>
        <v>1156</v>
      </c>
      <c r="L14" s="197">
        <f t="shared" si="7"/>
        <v>3920</v>
      </c>
      <c r="M14" s="197">
        <f t="shared" si="7"/>
        <v>218</v>
      </c>
      <c r="N14" s="197">
        <f t="shared" si="7"/>
        <v>709</v>
      </c>
      <c r="O14" s="197">
        <f t="shared" si="7"/>
        <v>453</v>
      </c>
      <c r="P14" s="197">
        <f t="shared" si="7"/>
        <v>243</v>
      </c>
      <c r="Q14" s="197">
        <f t="shared" si="7"/>
        <v>220</v>
      </c>
      <c r="R14" s="197">
        <f t="shared" si="7"/>
        <v>5653</v>
      </c>
      <c r="S14" s="197">
        <f t="shared" si="7"/>
        <v>3528</v>
      </c>
      <c r="T14" s="197">
        <f t="shared" si="7"/>
        <v>1451</v>
      </c>
      <c r="U14" s="197">
        <f t="shared" si="7"/>
        <v>1325</v>
      </c>
      <c r="V14" s="197">
        <f t="shared" si="7"/>
        <v>3359</v>
      </c>
      <c r="W14" s="197">
        <f t="shared" si="7"/>
        <v>173</v>
      </c>
      <c r="X14" s="197">
        <f t="shared" si="7"/>
        <v>829</v>
      </c>
      <c r="Y14" s="197">
        <f t="shared" si="7"/>
        <v>310</v>
      </c>
      <c r="Z14" s="197">
        <f t="shared" si="7"/>
        <v>175</v>
      </c>
      <c r="AA14" s="197">
        <f t="shared" si="7"/>
        <v>174</v>
      </c>
      <c r="AB14" s="197">
        <f t="shared" si="7"/>
        <v>291</v>
      </c>
      <c r="AC14" s="197">
        <f t="shared" si="7"/>
        <v>0</v>
      </c>
      <c r="AD14" s="197">
        <f t="shared" si="7"/>
        <v>0</v>
      </c>
      <c r="AE14" s="197">
        <f t="shared" si="7"/>
        <v>0</v>
      </c>
      <c r="AF14" s="197">
        <f>SUBTOTAL(9,AF9:AF13)</f>
        <v>0</v>
      </c>
      <c r="AG14" s="197">
        <f t="shared" ref="AG14:AT14" si="8">SUBTOTAL(9,AG8:AG13)</f>
        <v>318</v>
      </c>
      <c r="AH14" s="197">
        <f t="shared" si="8"/>
        <v>144</v>
      </c>
      <c r="AI14" s="197">
        <f t="shared" si="8"/>
        <v>154</v>
      </c>
      <c r="AJ14" s="197">
        <f t="shared" si="8"/>
        <v>300</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3846</v>
      </c>
      <c r="AZ14" s="197">
        <f>SUBTOTAL(9,AZ8:AZ13)</f>
        <v>1595</v>
      </c>
      <c r="BA14" s="197">
        <f>SUBTOTAL(9,BA8:BA13)</f>
        <v>1479</v>
      </c>
      <c r="BB14" s="197">
        <f>SUBTOTAL(9,BB8:BB13)</f>
        <v>3659</v>
      </c>
      <c r="BC14" s="197">
        <f>SUBTOTAL(9,BC8:BC13)</f>
        <v>829</v>
      </c>
      <c r="BD14" s="219">
        <f>IF(ISNUMBER(BA14/AZ14),BA14/AZ14," - ")</f>
        <v>0.92727272727272725</v>
      </c>
      <c r="BE14" s="220">
        <f>IF(ISNUMBER(BB14/BA14),BB14/BA14, " - ")</f>
        <v>2.4739688979039891</v>
      </c>
      <c r="BF14" s="220">
        <f>IF(ISNUMBER(BC14/BA14),BC14/BA14, " - ")</f>
        <v>0.56051386071670051</v>
      </c>
      <c r="BG14" s="221">
        <f>IF(ISNUMBER((AY14+AZ14)/BA14),(AY14+AZ14)/BA14," - ")</f>
        <v>3.678837052062204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992</v>
      </c>
      <c r="J17" s="196">
        <v>1202</v>
      </c>
      <c r="K17" s="196">
        <v>1081</v>
      </c>
      <c r="L17" s="196">
        <v>1124</v>
      </c>
      <c r="M17" s="196">
        <v>109</v>
      </c>
      <c r="N17" s="196">
        <v>634</v>
      </c>
      <c r="O17" s="194">
        <v>11</v>
      </c>
      <c r="P17" s="196">
        <v>37</v>
      </c>
      <c r="Q17" s="196">
        <v>30</v>
      </c>
      <c r="R17" s="196">
        <v>255</v>
      </c>
      <c r="S17" s="196">
        <v>1007</v>
      </c>
      <c r="T17" s="196">
        <v>1208</v>
      </c>
      <c r="U17" s="196">
        <v>1216</v>
      </c>
      <c r="V17" s="196">
        <v>1029</v>
      </c>
      <c r="W17" s="196">
        <v>117</v>
      </c>
      <c r="X17" s="202">
        <v>719</v>
      </c>
      <c r="Y17" s="215">
        <v>0</v>
      </c>
      <c r="Z17" s="196">
        <v>0</v>
      </c>
      <c r="AA17" s="196">
        <v>0</v>
      </c>
      <c r="AB17" s="196">
        <v>0</v>
      </c>
      <c r="AC17" s="196">
        <v>5</v>
      </c>
      <c r="AD17" s="196">
        <v>2</v>
      </c>
      <c r="AE17" s="196">
        <v>2</v>
      </c>
      <c r="AF17" s="202">
        <v>5</v>
      </c>
      <c r="AG17" s="215">
        <v>0</v>
      </c>
      <c r="AH17" s="196">
        <v>0</v>
      </c>
      <c r="AI17" s="196">
        <v>0</v>
      </c>
      <c r="AJ17" s="216">
        <v>0</v>
      </c>
      <c r="AK17" s="195">
        <v>2</v>
      </c>
      <c r="AL17" s="196">
        <v>9</v>
      </c>
      <c r="AM17" s="196">
        <v>9</v>
      </c>
      <c r="AN17" s="202">
        <v>2</v>
      </c>
      <c r="AO17" s="283">
        <v>6</v>
      </c>
      <c r="AP17" s="168">
        <v>6</v>
      </c>
      <c r="AQ17" s="168">
        <v>6</v>
      </c>
      <c r="AR17" s="168">
        <v>6</v>
      </c>
      <c r="AS17" s="381" t="s">
        <v>650</v>
      </c>
      <c r="AT17" s="216"/>
      <c r="AU17" s="215"/>
      <c r="AV17" s="216"/>
      <c r="AW17" s="215"/>
      <c r="AX17" s="216"/>
      <c r="AY17" s="136">
        <f t="shared" si="10"/>
        <v>1007</v>
      </c>
      <c r="AZ17" s="137">
        <f t="shared" si="10"/>
        <v>1208</v>
      </c>
      <c r="BA17" s="137">
        <f t="shared" si="10"/>
        <v>1216</v>
      </c>
      <c r="BB17" s="137">
        <f t="shared" si="10"/>
        <v>1029</v>
      </c>
      <c r="BC17" s="135">
        <f>IF(ISNUMBER(W17),W17," - ")</f>
        <v>117</v>
      </c>
      <c r="BD17" s="136">
        <f t="shared" ref="BD17:BD22" si="12">IF(ISNUMBER(BA17/AZ17),BA17/AZ17," - ")</f>
        <v>1.0066225165562914</v>
      </c>
      <c r="BE17" s="137">
        <f t="shared" ref="BE17:BE22" si="13">IF(ISNUMBER(BB17/BA17),BB17/BA17, " - ")</f>
        <v>0.84621710526315785</v>
      </c>
      <c r="BF17" s="137">
        <f t="shared" ref="BF17:BF22" si="14">IF(ISNUMBER(BC17/BA17),BC17/BA17, " - ")</f>
        <v>9.6217105263157895E-2</v>
      </c>
      <c r="BG17" s="209">
        <f t="shared" si="11"/>
        <v>1.821546052631579</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146</v>
      </c>
      <c r="J18" s="196">
        <v>159</v>
      </c>
      <c r="K18" s="196">
        <v>110</v>
      </c>
      <c r="L18" s="196">
        <v>201</v>
      </c>
      <c r="M18" s="196">
        <v>5</v>
      </c>
      <c r="N18" s="196">
        <v>32</v>
      </c>
      <c r="O18" s="196">
        <v>2</v>
      </c>
      <c r="P18" s="196">
        <v>1</v>
      </c>
      <c r="Q18" s="196">
        <v>2</v>
      </c>
      <c r="R18" s="196">
        <v>6</v>
      </c>
      <c r="S18" s="196">
        <v>68</v>
      </c>
      <c r="T18" s="196">
        <v>23</v>
      </c>
      <c r="U18" s="196">
        <v>19</v>
      </c>
      <c r="V18" s="196">
        <v>74</v>
      </c>
      <c r="W18" s="196">
        <v>1</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68</v>
      </c>
      <c r="AZ18" s="139">
        <f t="shared" si="15"/>
        <v>23</v>
      </c>
      <c r="BA18" s="139">
        <f t="shared" si="15"/>
        <v>19</v>
      </c>
      <c r="BB18" s="139">
        <f t="shared" si="15"/>
        <v>74</v>
      </c>
      <c r="BC18" s="135">
        <f>IF(ISNUMBER(W18),W18," - ")</f>
        <v>1</v>
      </c>
      <c r="BD18" s="136">
        <f>IF(ISNUMBER(BA18/AZ18),BA18/AZ18," - ")</f>
        <v>0.82608695652173914</v>
      </c>
      <c r="BE18" s="137">
        <f>IF(ISNUMBER(BB18/BA18),BB18/BA18, " - ")</f>
        <v>3.8947368421052633</v>
      </c>
      <c r="BF18" s="137">
        <f>IF(ISNUMBER(BC18/BA18),BC18/BA18, " - ")</f>
        <v>5.2631578947368418E-2</v>
      </c>
      <c r="BG18" s="209">
        <f>IF(ISNUMBER((AY18+AZ18)/BA18),(AY18+AZ18)/BA18," - ")</f>
        <v>4.7894736842105265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1138</v>
      </c>
      <c r="J23" s="197">
        <f t="shared" si="21"/>
        <v>1361</v>
      </c>
      <c r="K23" s="197">
        <f t="shared" si="21"/>
        <v>1191</v>
      </c>
      <c r="L23" s="197">
        <f t="shared" si="21"/>
        <v>1325</v>
      </c>
      <c r="M23" s="197">
        <f t="shared" si="21"/>
        <v>114</v>
      </c>
      <c r="N23" s="197">
        <f t="shared" si="21"/>
        <v>666</v>
      </c>
      <c r="O23" s="197">
        <f t="shared" si="21"/>
        <v>13</v>
      </c>
      <c r="P23" s="197">
        <f t="shared" si="21"/>
        <v>38</v>
      </c>
      <c r="Q23" s="197">
        <f t="shared" si="21"/>
        <v>32</v>
      </c>
      <c r="R23" s="197">
        <f t="shared" si="21"/>
        <v>261</v>
      </c>
      <c r="S23" s="197">
        <f t="shared" si="21"/>
        <v>1075</v>
      </c>
      <c r="T23" s="197">
        <f t="shared" si="21"/>
        <v>1231</v>
      </c>
      <c r="U23" s="197">
        <f t="shared" si="21"/>
        <v>1235</v>
      </c>
      <c r="V23" s="197">
        <f t="shared" si="21"/>
        <v>1103</v>
      </c>
      <c r="W23" s="197">
        <f t="shared" si="21"/>
        <v>118</v>
      </c>
      <c r="X23" s="197">
        <f t="shared" si="21"/>
        <v>727</v>
      </c>
      <c r="Y23" s="197">
        <f t="shared" si="21"/>
        <v>0</v>
      </c>
      <c r="Z23" s="197">
        <f t="shared" si="21"/>
        <v>0</v>
      </c>
      <c r="AA23" s="197">
        <f t="shared" si="21"/>
        <v>0</v>
      </c>
      <c r="AB23" s="197">
        <f t="shared" si="21"/>
        <v>0</v>
      </c>
      <c r="AC23" s="197">
        <f t="shared" si="21"/>
        <v>5</v>
      </c>
      <c r="AD23" s="197">
        <f t="shared" si="21"/>
        <v>2</v>
      </c>
      <c r="AE23" s="197">
        <f t="shared" si="21"/>
        <v>2</v>
      </c>
      <c r="AF23" s="197">
        <f t="shared" si="21"/>
        <v>5</v>
      </c>
      <c r="AG23" s="197">
        <f t="shared" si="21"/>
        <v>0</v>
      </c>
      <c r="AH23" s="197">
        <f t="shared" si="21"/>
        <v>0</v>
      </c>
      <c r="AI23" s="197">
        <f t="shared" si="21"/>
        <v>0</v>
      </c>
      <c r="AJ23" s="197">
        <f t="shared" si="21"/>
        <v>0</v>
      </c>
      <c r="AK23" s="197">
        <f t="shared" si="21"/>
        <v>2</v>
      </c>
      <c r="AL23" s="197">
        <f t="shared" si="21"/>
        <v>9</v>
      </c>
      <c r="AM23" s="197">
        <f t="shared" si="21"/>
        <v>9</v>
      </c>
      <c r="AN23" s="197">
        <f t="shared" si="21"/>
        <v>2</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1075</v>
      </c>
      <c r="AZ23" s="197">
        <f>SUBTOTAL(9,AZ15:AZ22)</f>
        <v>1231</v>
      </c>
      <c r="BA23" s="197">
        <f>SUBTOTAL(9,BA15:BA22)</f>
        <v>1235</v>
      </c>
      <c r="BB23" s="197">
        <f>SUBTOTAL(9,BB15:BB22)</f>
        <v>1103</v>
      </c>
      <c r="BC23" s="197">
        <f>SUBTOTAL(9,BC15:BC22)</f>
        <v>118</v>
      </c>
      <c r="BD23" s="219">
        <f>IF(ISNUMBER(BA23/AZ23),BA23/AZ23," - ")</f>
        <v>1.0032493907392364</v>
      </c>
      <c r="BE23" s="220">
        <f>IF(ISNUMBER(BB23/BA23),BB23/BA23, " - ")</f>
        <v>0.89311740890688263</v>
      </c>
      <c r="BF23" s="220">
        <f>IF(ISNUMBER(BC23/BA23),BC23/BA23, " - ")</f>
        <v>9.5546558704453444E-2</v>
      </c>
      <c r="BG23" s="221">
        <f>IF(ISNUMBER((AY23+AZ23)/BA23),(AY23+AZ23)/BA23," - ")</f>
        <v>1.8672064777327935</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4971</v>
      </c>
      <c r="J31" s="144">
        <f t="shared" si="36"/>
        <v>2720</v>
      </c>
      <c r="K31" s="144">
        <f t="shared" si="36"/>
        <v>2347</v>
      </c>
      <c r="L31" s="144">
        <f t="shared" si="36"/>
        <v>5245</v>
      </c>
      <c r="M31" s="144">
        <f t="shared" si="36"/>
        <v>332</v>
      </c>
      <c r="N31" s="144">
        <f t="shared" si="36"/>
        <v>1375</v>
      </c>
      <c r="O31" s="144">
        <f t="shared" si="36"/>
        <v>466</v>
      </c>
      <c r="P31" s="144">
        <f t="shared" si="36"/>
        <v>281</v>
      </c>
      <c r="Q31" s="144">
        <f t="shared" si="36"/>
        <v>252</v>
      </c>
      <c r="R31" s="144">
        <f t="shared" si="36"/>
        <v>5914</v>
      </c>
      <c r="S31" s="144">
        <f t="shared" si="36"/>
        <v>4603</v>
      </c>
      <c r="T31" s="144">
        <f t="shared" si="36"/>
        <v>2682</v>
      </c>
      <c r="U31" s="144">
        <f t="shared" si="36"/>
        <v>2560</v>
      </c>
      <c r="V31" s="144">
        <f t="shared" si="36"/>
        <v>4462</v>
      </c>
      <c r="W31" s="144">
        <f t="shared" si="36"/>
        <v>291</v>
      </c>
      <c r="X31" s="144">
        <f t="shared" si="36"/>
        <v>1556</v>
      </c>
      <c r="Y31" s="144">
        <f t="shared" si="36"/>
        <v>310</v>
      </c>
      <c r="Z31" s="144">
        <f t="shared" si="36"/>
        <v>175</v>
      </c>
      <c r="AA31" s="144">
        <f t="shared" si="36"/>
        <v>174</v>
      </c>
      <c r="AB31" s="144">
        <f t="shared" si="36"/>
        <v>291</v>
      </c>
      <c r="AC31" s="144">
        <f t="shared" si="36"/>
        <v>5</v>
      </c>
      <c r="AD31" s="144">
        <f t="shared" si="36"/>
        <v>2</v>
      </c>
      <c r="AE31" s="144">
        <f t="shared" si="36"/>
        <v>2</v>
      </c>
      <c r="AF31" s="144">
        <f t="shared" si="36"/>
        <v>5</v>
      </c>
      <c r="AG31" s="144">
        <f t="shared" si="36"/>
        <v>318</v>
      </c>
      <c r="AH31" s="144">
        <f t="shared" si="36"/>
        <v>144</v>
      </c>
      <c r="AI31" s="144">
        <f t="shared" si="36"/>
        <v>154</v>
      </c>
      <c r="AJ31" s="144">
        <f t="shared" si="36"/>
        <v>300</v>
      </c>
      <c r="AK31" s="144">
        <f t="shared" si="36"/>
        <v>2</v>
      </c>
      <c r="AL31" s="144">
        <f t="shared" si="36"/>
        <v>9</v>
      </c>
      <c r="AM31" s="144">
        <f t="shared" si="36"/>
        <v>9</v>
      </c>
      <c r="AN31" s="224">
        <f t="shared" si="36"/>
        <v>2</v>
      </c>
      <c r="AO31" s="225">
        <v>7</v>
      </c>
      <c r="AP31" s="225">
        <v>6</v>
      </c>
      <c r="AQ31" s="225">
        <v>6</v>
      </c>
      <c r="AR31" s="225">
        <v>6</v>
      </c>
      <c r="AS31" s="166">
        <f t="shared" si="36"/>
        <v>0</v>
      </c>
      <c r="AT31" s="166">
        <f t="shared" si="36"/>
        <v>0</v>
      </c>
      <c r="AU31" s="225"/>
      <c r="AV31" s="226"/>
      <c r="AW31" s="225"/>
      <c r="AX31" s="226"/>
      <c r="AY31" s="143">
        <f>SUBTOTAL(9,AY9:AY30)</f>
        <v>4921</v>
      </c>
      <c r="AZ31" s="144">
        <f>SUBTOTAL(9,AZ9:AZ30)</f>
        <v>2826</v>
      </c>
      <c r="BA31" s="144">
        <f>SUBTOTAL(9,BA9:BA30)</f>
        <v>2714</v>
      </c>
      <c r="BB31" s="144">
        <f>SUBTOTAL(9,BB9:BB30)</f>
        <v>4762</v>
      </c>
      <c r="BC31" s="145">
        <f>SUBTOTAL(9,BC9:BC30)</f>
        <v>947</v>
      </c>
      <c r="BD31" s="227">
        <f>IF(ISNUMBER(BA31/AZ31),BA31/AZ31," - ")</f>
        <v>0.96036801132342531</v>
      </c>
      <c r="BE31" s="224">
        <f>IF(ISNUMBER(BB31/BA31),BB31/BA31, " - ")</f>
        <v>1.7546057479734709</v>
      </c>
      <c r="BF31" s="224">
        <f>IF(ISNUMBER(BC31/BA31),BC31/BA31, " - ")</f>
        <v>0.34893146647015477</v>
      </c>
      <c r="BG31" s="145">
        <f>IF(ISNUMBER((AY31+AZ31)/BA31),(AY31+AZ31)/BA31," - ")</f>
        <v>2.8544583640383197</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459AqmOV/gjhtSOhqTl2IqTARi4OZYCia0madr9c68WuubJjfTiAcQpweOjyiqBimqjscB9MCG/qbTP65lwlQ==" saltValue="ulcknxLuGDiq+vZTFPdR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daZoPRkYkKWtUw8vx93eS+5J3rSJygImKRPSNDfNniD19SRVbrHb1BM+M4ehqE4ljsiLmdma4hwMa/fWRrHSQ==" saltValue="eLXQ+vvarnTVNLjweiBFp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COLMENAR VIEJO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53</v>
      </c>
      <c r="G10" s="543">
        <f>IF(ISNUMBER(Datos!I10),Datos!I10," - ")</f>
        <v>69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55</v>
      </c>
      <c r="AG10" s="549"/>
      <c r="AH10" s="549"/>
      <c r="AI10" s="549"/>
      <c r="AJ10" s="549"/>
      <c r="AK10" s="549"/>
      <c r="AL10" s="550"/>
      <c r="AM10" s="766">
        <f>IF(ISNUMBER(Datos!R10),Datos!R10," - ")</f>
        <v>25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0.6</v>
      </c>
      <c r="BH10" s="764">
        <f>IF(ISNUMBER(((Datos!L10/Datos!K10)*11)/factor_trimestre),((Datos!L10/Datos!K10)*11)/factor_trimestre," - ")</f>
        <v>36.666666666666664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175</v>
      </c>
      <c r="O12" s="549"/>
      <c r="P12" s="549"/>
      <c r="Q12" s="547">
        <f>IF(ISNUMBER(Datos!P12),Datos!P12,0)</f>
        <v>243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291</v>
      </c>
      <c r="AI12" s="549" t="str">
        <f>IF(ISNUMBER(Datos!CD12),Datos!CD12,"-")</f>
        <v>-</v>
      </c>
      <c r="AJ12" s="549" t="str">
        <f>IF(ISNUMBER(Datos!EN12),Datos!EN12," - ")</f>
        <v xml:space="preserve"> - </v>
      </c>
      <c r="AK12" s="549"/>
      <c r="AL12" s="550"/>
      <c r="AM12" s="766">
        <f>IF(ISNUMBER(Datos!R12),Datos!R12," - ")</f>
        <v>5628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215</v>
      </c>
      <c r="BD12" s="693">
        <f>IF(ISNUMBER(Datos!N12),Datos!N12," - ")</f>
        <v>709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0.86788750817527793</v>
      </c>
      <c r="BH12" s="764">
        <f>IF(ISNUMBER(((IF(J_V="SI",Datos!L12/Datos!K12,(Datos!L12+Datos!AB12)/(Datos!K12+Datos!AA12)))*11)/factor_trimestre),((IF(J_V="SI",Datos!L12/Datos!K12,(Datos!L12+Datos!AB12)/(Datos!K12+Datos!AA12)))*11)/factor_trimestre," - ")</f>
        <v>6.2637528259231345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4.1034790365744866E-3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53</v>
      </c>
      <c r="G14" s="1197">
        <f t="shared" si="1"/>
        <v>69</v>
      </c>
      <c r="H14" s="1198">
        <f t="shared" si="1"/>
        <v>0</v>
      </c>
      <c r="I14" s="1197">
        <f t="shared" si="1"/>
        <v>0</v>
      </c>
      <c r="J14" s="1164">
        <f t="shared" si="1"/>
        <v>0</v>
      </c>
      <c r="K14" s="1164">
        <f t="shared" si="1"/>
        <v>0</v>
      </c>
      <c r="L14" s="1198">
        <f t="shared" si="1"/>
        <v>0</v>
      </c>
      <c r="M14" s="1198">
        <f t="shared" si="1"/>
        <v>0</v>
      </c>
      <c r="N14" s="1198">
        <f t="shared" si="1"/>
        <v>175</v>
      </c>
      <c r="O14" s="1199">
        <f t="shared" si="1"/>
        <v>0</v>
      </c>
      <c r="P14" s="1199">
        <f t="shared" si="1"/>
        <v>0</v>
      </c>
      <c r="Q14" s="1198">
        <f t="shared" si="1"/>
        <v>243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220</v>
      </c>
      <c r="AD14" s="1198">
        <f t="shared" si="2"/>
        <v>0</v>
      </c>
      <c r="AE14" s="1198">
        <f t="shared" si="2"/>
        <v>0</v>
      </c>
      <c r="AF14" s="1198">
        <f t="shared" si="2"/>
        <v>55</v>
      </c>
      <c r="AG14" s="1198">
        <f t="shared" si="2"/>
        <v>0</v>
      </c>
      <c r="AH14" s="1198">
        <f t="shared" si="2"/>
        <v>291</v>
      </c>
      <c r="AI14" s="1198">
        <f t="shared" si="2"/>
        <v>0</v>
      </c>
      <c r="AJ14" s="1198">
        <f t="shared" si="2"/>
        <v>0</v>
      </c>
      <c r="AK14" s="1198">
        <f t="shared" si="2"/>
        <v>0</v>
      </c>
      <c r="AL14" s="1198">
        <f t="shared" si="2"/>
        <v>0</v>
      </c>
      <c r="AM14" s="1198">
        <f t="shared" si="2"/>
        <v>5653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218</v>
      </c>
      <c r="BD14" s="1198">
        <f t="shared" si="2"/>
        <v>709</v>
      </c>
      <c r="BE14" s="1198">
        <f t="shared" si="2"/>
        <v>0</v>
      </c>
      <c r="BF14" s="1198">
        <f t="shared" si="2"/>
        <v>0</v>
      </c>
      <c r="BG14" s="1198">
        <f>IF(ISNUMBER(Datos!K14/Datos!J14),Datos!K14/Datos!J14," - ")</f>
        <v>0.85062545989698313</v>
      </c>
      <c r="BH14" s="1202">
        <f>IF(ISNUMBER(((Datos!L14/Datos!K14)*11)/factor_trimestre),((Datos!L14/Datos!K14)*11)/factor_trimestre," - ")</f>
        <v>6.7820069204152249</v>
      </c>
      <c r="BI14" s="1198">
        <f>IF(ISNUMBER('Resol  Asuntos'!D14/NºAsuntos!G14),'Resol  Asuntos'!D14/NºAsuntos!G14," - ")</f>
        <v>0.16390977443609023</v>
      </c>
      <c r="BJ14" s="1198" t="str">
        <f>IF(ISNUMBER(Datos!CI14/Datos!CJ14),Datos!CI14/Datos!CJ14," - ")</f>
        <v xml:space="preserve"> - </v>
      </c>
      <c r="BK14" s="1198">
        <f>SUBTOTAL(9,BK8:BK13)</f>
        <v>0</v>
      </c>
      <c r="BL14" s="1198">
        <f>IF(ISNUMBER((I14-AB14+L14)/(F14)),(I14-AB14+L14)/(F14)," - ")</f>
        <v>-5.6603773584905662E-2</v>
      </c>
      <c r="BM14" s="1203">
        <f>SUBTOTAL(9,BM9:BM13)</f>
        <v>4.1034790365744866E-3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1003</v>
      </c>
      <c r="G17" s="743">
        <f>IF(ISNUMBER(IF(D_I="SI",Datos!I17,Datos!I17+Datos!AC17)),IF(D_I="SI",Datos!I17,Datos!I17+Datos!AC17)," - ")</f>
        <v>992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1081</v>
      </c>
      <c r="AC17" s="240">
        <f>IF(ISNUMBER(Datos!Q17),Datos!Q17," - ")</f>
        <v>30</v>
      </c>
      <c r="AD17" s="374"/>
      <c r="AE17" s="562"/>
      <c r="AF17" s="741">
        <f>IF(ISNUMBER(IF(D_I="SI",Datos!L17,Datos!L17+Datos!AF17)),IF(D_I="SI",Datos!L17,Datos!L17+Datos!AF17)," - ")</f>
        <v>1124</v>
      </c>
      <c r="AG17" s="374"/>
      <c r="AH17" s="374"/>
      <c r="AI17" s="374"/>
      <c r="AJ17" s="549"/>
      <c r="AK17" s="374"/>
      <c r="AL17" s="545"/>
      <c r="AM17" s="375">
        <f>IF(ISNUMBER(Datos!R17),Datos!R17," - ")</f>
        <v>255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109</v>
      </c>
      <c r="BD17" s="243">
        <f>IF(ISNUMBER(Datos!N17),Datos!N17," - ")</f>
        <v>634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0.89933444259567386</v>
      </c>
      <c r="BH17" s="764">
        <f>IF(ISNUMBER(((IF(D_I="SI",Datos!L17/Datos!K17,(Datos!L17+Datos!AF17)/(Datos!K17+Datos!AE17)))*11)/factor_trimestre),((IF(D_I="SI",Datos!L17/Datos!K17,(Datos!L17+Datos!AF17)/(Datos!K17+Datos!AE17)))*11)/factor_trimestre," - ")</f>
        <v>2.0795559666975025</v>
      </c>
      <c r="BI17" s="266">
        <f>IF(ISNUMBER('Resol  Asuntos'!D17/NºAsuntos!G17),'Resol  Asuntos'!D17/NºAsuntos!G17," - ")</f>
        <v>0.10083256244218317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110</v>
      </c>
      <c r="AC18" s="547">
        <f>IF(ISNUMBER(Datos!Q18),Datos!Q18," - ")</f>
        <v>2</v>
      </c>
      <c r="AD18" s="549"/>
      <c r="AE18" s="562"/>
      <c r="AF18" s="551">
        <f>IF(ISNUMBER(Datos!L18),Datos!L18,"-")</f>
        <v>201</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32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0.69182389937106914</v>
      </c>
      <c r="BH18" s="764">
        <f>IF(ISNUMBER(((IF(D_I="SI",Datos!L18/Datos!K18,(Datos!L18+Datos!AF18)/(Datos!K18+Datos!AE18)))*11)/factor_trimestre),((IF(D_I="SI",Datos!L18/Datos!K18,(Datos!L18+Datos!AF18)/(Datos!K18+Datos!AE18)))*11)/factor_trimestre," - ")</f>
        <v>3.6545454545454548</v>
      </c>
      <c r="BI18" s="763">
        <f>IF(ISNUMBER('Resol  Asuntos'!D18/NºAsuntos!G18),'Resol  Asuntos'!D18/NºAsuntos!G18," - ")</f>
        <v>4.5454545454545456E-2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1003</v>
      </c>
      <c r="G23" s="1197">
        <f>SUBTOTAL(9,G16:G22)</f>
        <v>1138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1191</v>
      </c>
      <c r="AC23" s="1198">
        <f t="shared" si="5"/>
        <v>32</v>
      </c>
      <c r="AD23" s="1198">
        <f t="shared" si="5"/>
        <v>0</v>
      </c>
      <c r="AE23" s="1198">
        <f t="shared" si="5"/>
        <v>0</v>
      </c>
      <c r="AF23" s="1198">
        <f t="shared" si="5"/>
        <v>1325</v>
      </c>
      <c r="AG23" s="1198">
        <f t="shared" si="5"/>
        <v>0</v>
      </c>
      <c r="AH23" s="1198">
        <f t="shared" si="5"/>
        <v>0</v>
      </c>
      <c r="AI23" s="1198">
        <f t="shared" si="5"/>
        <v>0</v>
      </c>
      <c r="AJ23" s="1198">
        <f t="shared" si="5"/>
        <v>0</v>
      </c>
      <c r="AK23" s="1198">
        <f t="shared" si="5"/>
        <v>0</v>
      </c>
      <c r="AL23" s="1198">
        <f t="shared" si="5"/>
        <v>0</v>
      </c>
      <c r="AM23" s="1198">
        <f t="shared" si="5"/>
        <v>261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114</v>
      </c>
      <c r="BD23" s="1198">
        <f t="shared" si="5"/>
        <v>666</v>
      </c>
      <c r="BE23" s="1198">
        <f t="shared" si="5"/>
        <v>0</v>
      </c>
      <c r="BF23" s="1198">
        <f t="shared" si="5"/>
        <v>0</v>
      </c>
      <c r="BG23" s="1198">
        <f>IF(ISNUMBER(Datos!K23/Datos!J23),Datos!K23/Datos!J23," - ")</f>
        <v>0.87509184423218223</v>
      </c>
      <c r="BH23" s="1202">
        <f>IF(ISNUMBER(((Datos!L23/Datos!K23)*11)/factor_trimestre),((Datos!L23/Datos!K23)*11)/factor_trimestre," - ")</f>
        <v>2.2250209907640639</v>
      </c>
      <c r="BI23" s="1198">
        <f>SUBTOTAL(9,BI16:BI22)</f>
        <v>0.14628710789672861</v>
      </c>
      <c r="BJ23" s="1198">
        <f>SUBTOTAL(9,BJ16:BJ22)</f>
        <v>0</v>
      </c>
      <c r="BK23" s="1198">
        <f>SUBTOTAL(9,BK16:BK22)</f>
        <v>0</v>
      </c>
      <c r="BL23" s="1198">
        <f>IF(ISNUMBER((I23-AB23+L23)/(F23)),(I23-AB23+L23)/(F23)," - ")</f>
        <v>-1.1874376869391825</v>
      </c>
      <c r="BM23" s="1205">
        <f>IF(ISNUMBER((Datos!P23-Datos!Q23)/(Datos!R23-Datos!P23+Datos!Q23)),(Datos!P23-Datos!Q23)/(Datos!R23-Datos!P23+Datos!Q23)," - ")</f>
        <v>2.3529411764705882E-2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1056</v>
      </c>
      <c r="G31" s="1117">
        <f t="shared" si="18"/>
        <v>1207</v>
      </c>
      <c r="H31" s="1119">
        <f t="shared" si="18"/>
        <v>0</v>
      </c>
      <c r="I31" s="1117">
        <f t="shared" si="18"/>
        <v>0</v>
      </c>
      <c r="J31" s="1119">
        <f t="shared" si="18"/>
        <v>0</v>
      </c>
      <c r="K31" s="1119">
        <f t="shared" si="18"/>
        <v>0</v>
      </c>
      <c r="L31" s="1180">
        <f t="shared" si="18"/>
        <v>0</v>
      </c>
      <c r="M31" s="1180">
        <f t="shared" si="18"/>
        <v>0</v>
      </c>
      <c r="N31" s="1180">
        <f t="shared" si="18"/>
        <v>175</v>
      </c>
      <c r="O31" s="1180">
        <f t="shared" si="18"/>
        <v>0</v>
      </c>
      <c r="P31" s="1180">
        <f t="shared" si="18"/>
        <v>0</v>
      </c>
      <c r="Q31" s="1119">
        <f t="shared" si="18"/>
        <v>281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1194</v>
      </c>
      <c r="AC31" s="1118">
        <f t="shared" si="19"/>
        <v>252</v>
      </c>
      <c r="AD31" s="1118">
        <f t="shared" si="19"/>
        <v>0</v>
      </c>
      <c r="AE31" s="1118">
        <f t="shared" si="19"/>
        <v>0</v>
      </c>
      <c r="AF31" s="1125">
        <f t="shared" si="19"/>
        <v>1380</v>
      </c>
      <c r="AG31" s="1125">
        <f t="shared" si="19"/>
        <v>0</v>
      </c>
      <c r="AH31" s="1125">
        <f t="shared" si="19"/>
        <v>291</v>
      </c>
      <c r="AI31" s="1125">
        <f t="shared" si="19"/>
        <v>0</v>
      </c>
      <c r="AJ31" s="1118">
        <f t="shared" si="19"/>
        <v>0</v>
      </c>
      <c r="AK31" s="1125">
        <f t="shared" si="19"/>
        <v>0</v>
      </c>
      <c r="AL31" s="1125">
        <f t="shared" si="19"/>
        <v>0</v>
      </c>
      <c r="AM31" s="1125">
        <f t="shared" si="19"/>
        <v>5914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332</v>
      </c>
      <c r="BD31" s="1117">
        <f t="shared" si="19"/>
        <v>1375</v>
      </c>
      <c r="BE31" s="1117">
        <f t="shared" si="19"/>
        <v>0</v>
      </c>
      <c r="BF31" s="1127">
        <f t="shared" si="19"/>
        <v>0</v>
      </c>
      <c r="BG31" s="1223">
        <f>IF(ISNUMBER(Datos!K31/Datos!J31),Datos!K31/Datos!J31," - ")</f>
        <v>0.86286764705882357</v>
      </c>
      <c r="BH31" s="1223">
        <f>IF(ISNUMBER(((Datos!L31/Datos!K31)*11)/factor_trimestre),((Datos!L31/Datos!K31)*11)/factor_trimestre," - ")</f>
        <v>4.4695355773327652</v>
      </c>
      <c r="BI31" s="1103">
        <f>IF(ISNUMBER(Datos!J31/Datos!I31),Datos!J31/Datos!I31," - ")</f>
        <v>0.54717360692013683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-1.1306818181818181</v>
      </c>
      <c r="BM31" s="1188">
        <f>IF(ISNUMBER((Datos!P31-Datos!Q31+R31)/(Datos!R31-Datos!P31+Datos!Q31-R31)),(Datos!P31-Datos!Q31+R31)/(Datos!R31-Datos!P31+Datos!Q31-R31)," - ")</f>
        <v>4.9277824978759561E-3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344.85714285714283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504.81917554704677</v>
      </c>
      <c r="G33" s="674">
        <f>IF(ISNUMBER(STDEV(G8:G30)),STDEV(G8:G30),"-")</f>
        <v>496.22925769292988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545.36086785767475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95.280038383103701</v>
      </c>
      <c r="BD33" s="673"/>
      <c r="BE33" s="673">
        <f>IF(ISNUMBER(STDEV(BE8:BE30)),STDEV(BE8:BE30),"-")</f>
        <v>0</v>
      </c>
      <c r="BF33" s="678">
        <f>IF(ISNUMBER(STDEV(BF8:BF30)),STDEV(BF8:BF30),"-")</f>
        <v>0</v>
      </c>
      <c r="BG33" s="1052">
        <f>IF(ISNUMBER(STDEV(BG8:BG30)),STDEV(BG8:BG30),"-")</f>
        <v>0.1219353457216847</v>
      </c>
      <c r="BH33" s="1058">
        <f>IF(ISNUMBER(STDEV(BH8:BH30)),STDEV(BH8:BH30),"-")</f>
        <v>13.401276394721608</v>
      </c>
      <c r="BI33" s="273">
        <f>IF(ISNUMBER(STDEV(BI8:BI30)),STDEV(BI8:BI30),"-")</f>
        <v>5.2931544185683181E-2</v>
      </c>
      <c r="BJ33" s="244" t="str">
        <f>IF(ISNUMBER(BL33/BM33),BL33/BM33," - ")</f>
        <v xml:space="preserve"> - </v>
      </c>
      <c r="BK33" s="709"/>
      <c r="BL33" s="681">
        <f>IF(ISNUMBER(STDEV(BL8:BL30)),STDEV(BL8:BL30),"-")</f>
        <v>0.79962032852852993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m7OrtkcXFT1TucGyea7G7HC9VO3B0y4O+BKnyfuss21pkV+IIx5LP8DreNK6ngelmkTQfKjY9c/FM5y78+kwQ==" saltValue="A3EfOC70gycy/u5cRY4V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COLMENAR VIEJO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53</v>
      </c>
      <c r="G10" s="552">
        <f>IF(ISNUMBER(Datos!I10),Datos!I10," - ")</f>
        <v>69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55</v>
      </c>
      <c r="AB10" s="549"/>
      <c r="AC10" s="549"/>
      <c r="AD10" s="563"/>
      <c r="AE10" s="563">
        <f>IF(ISNUMBER(Datos!R10),Datos!R10," - ")</f>
        <v>25</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36.666666666666664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220</v>
      </c>
      <c r="AA12" s="551" t="str">
        <f>IF(ISNUMBER(IF(J_V="SI",Datos!L12,Datos!L12+Datos!AB12)-IF(Monitorios="SI",Datos!CD12,0)),
                          IF(J_V="SI",Datos!L12,Datos!L12+Datos!AB12)-IF(Monitorios="SI",Datos!CD12,0),
                          " - ")</f>
        <v xml:space="preserve"> - </v>
      </c>
      <c r="AB12" s="549"/>
      <c r="AC12" s="549"/>
      <c r="AD12" s="563"/>
      <c r="AE12" s="563">
        <f>IF(ISNUMBER(Datos!R12),Datos!R12," - ")</f>
        <v>5628</v>
      </c>
      <c r="AF12" s="693" t="str">
        <f>IF(ISNUMBER(Datos!BV12),Datos!BV12," - ")</f>
        <v xml:space="preserve"> - </v>
      </c>
      <c r="AG12" s="552" t="str">
        <f>IF(ISNUMBER(Datos!DV12),Datos!DV12," - ")</f>
        <v xml:space="preserve"> - </v>
      </c>
      <c r="AH12" s="553"/>
      <c r="AI12" s="554"/>
      <c r="AJ12" s="552">
        <f>IF(ISNUMBER(Datos!M12),Datos!M12," - ")</f>
        <v>215</v>
      </c>
      <c r="AK12" s="693">
        <f>IF(ISNUMBER(Datos!N12),Datos!N12," - ")</f>
        <v>709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6.2637528259231345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4.1034790365744866E-3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53</v>
      </c>
      <c r="G14" s="1197">
        <f>SUBTOTAL(9,G8:G13)</f>
        <v>69</v>
      </c>
      <c r="H14" s="1211"/>
      <c r="I14" s="1197">
        <f t="shared" ref="I14:N14" si="1">SUBTOTAL(9,I8:I13)</f>
        <v>0</v>
      </c>
      <c r="J14" s="1164">
        <f t="shared" si="1"/>
        <v>0</v>
      </c>
      <c r="K14" s="1211">
        <f t="shared" si="1"/>
        <v>0</v>
      </c>
      <c r="L14" s="1211">
        <f t="shared" si="1"/>
        <v>0</v>
      </c>
      <c r="M14" s="1211">
        <f t="shared" si="1"/>
        <v>0</v>
      </c>
      <c r="N14" s="1211">
        <f t="shared" si="1"/>
        <v>243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220</v>
      </c>
      <c r="AA14" s="1199">
        <f t="shared" si="3"/>
        <v>55</v>
      </c>
      <c r="AB14" s="1199">
        <f t="shared" si="3"/>
        <v>0</v>
      </c>
      <c r="AC14" s="1199">
        <f t="shared" si="3"/>
        <v>0</v>
      </c>
      <c r="AD14" s="1199">
        <f t="shared" si="3"/>
        <v>0</v>
      </c>
      <c r="AE14" s="1199">
        <f t="shared" si="3"/>
        <v>5653</v>
      </c>
      <c r="AF14" s="1211">
        <f t="shared" si="3"/>
        <v>0</v>
      </c>
      <c r="AG14" s="1211">
        <f t="shared" si="3"/>
        <v>0</v>
      </c>
      <c r="AH14" s="1211">
        <f t="shared" si="3"/>
        <v>0</v>
      </c>
      <c r="AI14" s="1211">
        <f t="shared" si="3"/>
        <v>0</v>
      </c>
      <c r="AJ14" s="1211">
        <f t="shared" si="3"/>
        <v>218</v>
      </c>
      <c r="AK14" s="1211">
        <f t="shared" si="3"/>
        <v>709</v>
      </c>
      <c r="AL14" s="1211">
        <f t="shared" si="3"/>
        <v>0</v>
      </c>
      <c r="AM14" s="1211">
        <f t="shared" si="3"/>
        <v>0</v>
      </c>
      <c r="AN14" s="1211">
        <f t="shared" si="3"/>
        <v>0</v>
      </c>
      <c r="AO14" s="1203">
        <f>IF(ISNUMBER(((NºAsuntos!I14/NºAsuntos!G14)*11)/factor_trimestre),((NºAsuntos!I14/NºAsuntos!G14)*11)/factor_trimestre," - ")</f>
        <v>6.3323308270676684</v>
      </c>
      <c r="AP14" s="1213" t="str">
        <f>IF(ISNUMBER(Datos!CI14/Datos!CJ14),Datos!CI14/Datos!CJ14," - ")</f>
        <v xml:space="preserve"> - </v>
      </c>
      <c r="AQ14" s="1236">
        <f t="shared" ref="AQ14:AV14" si="4">SUBTOTAL(9,AQ9:AQ13)</f>
        <v>0</v>
      </c>
      <c r="AR14" s="1236">
        <f t="shared" si="4"/>
        <v>4.1034790365744866E-3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1003</v>
      </c>
      <c r="G17" s="552">
        <f>IF(ISNUMBER(IF(D_I="SI",Datos!I17,Datos!I17+Datos!AC17)),IF(D_I="SI",Datos!I17,Datos!I17+Datos!AC17)," - ")</f>
        <v>992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1081</v>
      </c>
      <c r="Z17" s="805">
        <f>IF(ISNUMBER(Datos!Q17),Datos!Q17," - ")</f>
        <v>30</v>
      </c>
      <c r="AA17" s="551">
        <f>IF(ISNUMBER(IF(D_I="SI",Datos!L17,Datos!L17+Datos!AF17)),IF(D_I="SI",Datos!L17,Datos!L17+Datos!AF17)," - ")</f>
        <v>1124</v>
      </c>
      <c r="AB17" s="549"/>
      <c r="AC17" s="549"/>
      <c r="AD17" s="563"/>
      <c r="AE17" s="563">
        <f>IF(ISNUMBER(Datos!R17),Datos!R17," - ")</f>
        <v>255</v>
      </c>
      <c r="AF17" s="693" t="str">
        <f>IF(ISNUMBER(Datos!BV17),Datos!BV17," - ")</f>
        <v xml:space="preserve"> - </v>
      </c>
      <c r="AG17" s="552"/>
      <c r="AH17" s="553"/>
      <c r="AI17" s="554"/>
      <c r="AJ17" s="552">
        <f>IF(ISNUMBER(Datos!M17),Datos!M17," - ")</f>
        <v>109</v>
      </c>
      <c r="AK17" s="693">
        <f>IF(ISNUMBER(Datos!N17),Datos!N17," - ")</f>
        <v>634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2.0795559666975025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110</v>
      </c>
      <c r="Z18" s="805">
        <f>IF(ISNUMBER(Datos!Q18),Datos!Q18," - ")</f>
        <v>2</v>
      </c>
      <c r="AA18" s="551">
        <f>IF(ISNUMBER(Datos!L18),Datos!L18,"-")</f>
        <v>201</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5</v>
      </c>
      <c r="AK18" s="693">
        <f>IF(ISNUMBER(Datos!N18),Datos!N18," - ")</f>
        <v>32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3.6545454545454548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1003</v>
      </c>
      <c r="G23" s="1197">
        <f>SUBTOTAL(9,G16:G22)</f>
        <v>1138</v>
      </c>
      <c r="H23" s="1240">
        <f>SUBTOTAL(9,H16:H22)</f>
        <v>0</v>
      </c>
      <c r="I23" s="1217">
        <f>SUBTOTAL(9,I16:I22)</f>
        <v>0</v>
      </c>
      <c r="J23" s="1164">
        <f>SUBTOTAL(9,J15:J22)</f>
        <v>0</v>
      </c>
      <c r="K23" s="1240">
        <f t="shared" ref="K23:S23" si="5">SUBTOTAL(9,K16:K22)</f>
        <v>0</v>
      </c>
      <c r="L23" s="1240">
        <f t="shared" si="5"/>
        <v>0</v>
      </c>
      <c r="M23" s="1240">
        <f t="shared" si="5"/>
        <v>0</v>
      </c>
      <c r="N23" s="1240">
        <f t="shared" si="5"/>
        <v>38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1191</v>
      </c>
      <c r="Z23" s="1240">
        <f t="shared" si="6"/>
        <v>32</v>
      </c>
      <c r="AA23" s="1240">
        <f t="shared" si="6"/>
        <v>1325</v>
      </c>
      <c r="AB23" s="1240">
        <f t="shared" si="6"/>
        <v>0</v>
      </c>
      <c r="AC23" s="1240">
        <f t="shared" si="6"/>
        <v>0</v>
      </c>
      <c r="AD23" s="1240">
        <f t="shared" si="6"/>
        <v>0</v>
      </c>
      <c r="AE23" s="1240">
        <f t="shared" si="6"/>
        <v>261</v>
      </c>
      <c r="AF23" s="1240">
        <f t="shared" si="6"/>
        <v>0</v>
      </c>
      <c r="AG23" s="1240">
        <f t="shared" si="6"/>
        <v>0</v>
      </c>
      <c r="AH23" s="1240">
        <f t="shared" si="6"/>
        <v>0</v>
      </c>
      <c r="AI23" s="1240">
        <f t="shared" si="6"/>
        <v>0</v>
      </c>
      <c r="AJ23" s="1240">
        <f t="shared" si="6"/>
        <v>114</v>
      </c>
      <c r="AK23" s="1240">
        <f t="shared" si="6"/>
        <v>666</v>
      </c>
      <c r="AL23" s="1240">
        <f t="shared" si="6"/>
        <v>0</v>
      </c>
      <c r="AM23" s="1240">
        <f t="shared" si="6"/>
        <v>0</v>
      </c>
      <c r="AN23" s="1240">
        <f t="shared" si="6"/>
        <v>0</v>
      </c>
      <c r="AO23" s="1242">
        <f>IF(ISNUMBER(((NºAsuntos!I23/NºAsuntos!G23)*11)/factor_trimestre),((NºAsuntos!I23/NºAsuntos!G23)*11)/factor_trimestre," - ")</f>
        <v>2.2250209907640639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1056</v>
      </c>
      <c r="G31" s="1117">
        <f t="shared" si="12"/>
        <v>1207</v>
      </c>
      <c r="H31" s="1118">
        <f t="shared" si="12"/>
        <v>0</v>
      </c>
      <c r="I31" s="1117">
        <f t="shared" si="12"/>
        <v>0</v>
      </c>
      <c r="J31" s="1119">
        <f t="shared" si="12"/>
        <v>0</v>
      </c>
      <c r="K31" s="1117">
        <f t="shared" si="12"/>
        <v>0</v>
      </c>
      <c r="L31" s="1120">
        <f t="shared" si="12"/>
        <v>0</v>
      </c>
      <c r="M31" s="1117">
        <f t="shared" si="12"/>
        <v>0</v>
      </c>
      <c r="N31" s="1118">
        <f t="shared" si="12"/>
        <v>281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1194</v>
      </c>
      <c r="Z31" s="1124">
        <f t="shared" si="13"/>
        <v>252</v>
      </c>
      <c r="AA31" s="1125">
        <f t="shared" si="13"/>
        <v>1380</v>
      </c>
      <c r="AB31" s="1125">
        <f t="shared" si="13"/>
        <v>0</v>
      </c>
      <c r="AC31" s="1125">
        <f t="shared" si="13"/>
        <v>0</v>
      </c>
      <c r="AD31" s="1126">
        <f t="shared" si="13"/>
        <v>0</v>
      </c>
      <c r="AE31" s="1126">
        <f t="shared" si="13"/>
        <v>5914</v>
      </c>
      <c r="AF31" s="1127">
        <f t="shared" si="13"/>
        <v>0</v>
      </c>
      <c r="AG31" s="1128">
        <f t="shared" si="13"/>
        <v>0</v>
      </c>
      <c r="AH31" s="1129">
        <f t="shared" si="13"/>
        <v>0</v>
      </c>
      <c r="AI31" s="1127">
        <f t="shared" si="13"/>
        <v>0</v>
      </c>
      <c r="AJ31" s="1117">
        <f t="shared" si="13"/>
        <v>332</v>
      </c>
      <c r="AK31" s="1117">
        <f t="shared" si="13"/>
        <v>1375</v>
      </c>
      <c r="AL31" s="1117">
        <f t="shared" si="13"/>
        <v>0</v>
      </c>
      <c r="AM31" s="1130">
        <f t="shared" si="13"/>
        <v>0</v>
      </c>
      <c r="AN31" s="1120">
        <f>IF(ISNUMBER(Datos!K31/Datos!J31),Datos!K31/Datos!J31," - ")</f>
        <v>0.86286764705882357</v>
      </c>
      <c r="AO31" s="1120">
        <f>IF(ISNUMBER(FIND("06",Criterios!A8,1)),(IF(ISNUMBER(((Datos!R31/Datos!Q31)*11)/factor_trimestre),((Datos!R31/Datos!Q31)*11)/factor_trimestre," - ")),(IF(ISNUMBER(((Datos!L31/Datos!K31)*11)/factor_trimestre),((Datos!L31/Datos!K31)*11)/factor_trimestre," - ")))</f>
        <v>4.4695355773327652</v>
      </c>
      <c r="AP31" s="1131" t="str">
        <f>IF(ISNUMBER(Datos!CI31/Datos!CJ31),Datos!CI31/Datos!CJ31," - ")</f>
        <v xml:space="preserve"> - </v>
      </c>
      <c r="AQ31" s="1131">
        <f>IF(OR(ISNUMBER(FIND("01",Criterios!A8,1)),ISNUMBER(FIND("02",Criterios!A8,1)),ISNUMBER(FIND("03",Criterios!A8,1)),ISNUMBER(FIND("04",Criterios!A8,1))),(J31-Y31+K31)/(F31-K31),(I31-Y31+K31)/(F31-K31))</f>
        <v>-1.1306818181818181</v>
      </c>
      <c r="AR31" s="1131">
        <f>IF(ISNUMBER((Datos!P31-Datos!Q31+O31)/(Datos!R31-Datos!P31+Datos!Q31-O31)),(Datos!P31-Datos!Q31+O31)/(Datos!R31-Datos!P31+Datos!Q31-O31)," - ")</f>
        <v>4.9277824978759561E-3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344.85714285714283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504.81917554704677</v>
      </c>
      <c r="G33" s="674">
        <f>IF(ISNUMBER(STDEV(G8:G30)),STDEV(G8:G30),"-")</f>
        <v>496.22925769292988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95.280038383103701</v>
      </c>
      <c r="AK33" s="276"/>
      <c r="AL33" s="276">
        <f>IF(ISNUMBER(STDEV(AL8:AL30)),STDEV(AL8:AL30),"-")</f>
        <v>0</v>
      </c>
      <c r="AM33" s="278">
        <f>IF(ISNUMBER(STDEV(AM8:AM30)),STDEV(AM8:AM30),"-")</f>
        <v>0</v>
      </c>
      <c r="AN33" s="660">
        <f>IF(ISNUMBER(STDEV(AN8:AN30)),STDEV(AN8:AN30),"-")</f>
        <v>0</v>
      </c>
      <c r="AO33" s="661">
        <f>IF(ISNUMBER(STDEV(AO8:AO30)),STDEV(AO8:AO30),"-")</f>
        <v>13.421509937655857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jfbSwpCkSwKrnhjT9qcR/L0nqXtNaW1sOBi2lo3dF8ws8enMxmG10MAuF7HoUIZL/lvTj24GAjN4h+FYhI+ug==" saltValue="63u08wnFDPyn9QgcCNe1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3TwKEEHk6tzYVBwjmEcwlnik7No5XhXt1IZTiT9+yadDByBfaDSuJeRLoXbtxV6H88cMAkoLoCK84cb3pA2rQ==" saltValue="ZvuZoeJwibRf4RPv6o0S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mUSdxPGE8osR3V0fVMIfImLWsRM14kzN7BKm95jOYDyUpVqv6fESN2qCDT0N7UKuYEfnFCGoDdSf/d0KuAYuw==" saltValue="Ld2VoYUED6sW/kZwO+LO0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COLMENAR VIEJO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0.16390977443609023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0.11590171300651682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gZ9B3ssTBeJYOrgNhQEnSVI5GCCi+QSVUNYUFfsUUru0g46T87IiHjHHOP2gTYCgGAqWT4ygYEpvj+KKgMS5Mg==" saltValue="68dmtbwUdG59eBVzLa4EQ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Vx7puwfUKLmIlfgolERf1XOc+hLnnFNF7GN/RYiMLKT2joeU3G2rPgigVbpfOOfwWixc171OOzJ1Mh7qHYxfw==" saltValue="ULqSlF9YIpMMmH3g6MhX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COLMENAR VIEJO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69</v>
      </c>
      <c r="D10" s="452">
        <f>IF(ISNUMBER(C10/Datos!BH10),C10/Datos!BH10," - ")</f>
        <v>69</v>
      </c>
      <c r="E10" s="451">
        <f>IF(ISNUMBER(Datos!J10),Datos!J10," - ")</f>
        <v>5</v>
      </c>
      <c r="F10" s="452">
        <f>IF(ISNUMBER(E10/B10),E10/B10," - ")</f>
        <v>5</v>
      </c>
      <c r="G10" s="451">
        <f>IF(ISNUMBER(Datos!K10),Datos!K10," - ")</f>
        <v>3</v>
      </c>
      <c r="H10" s="452">
        <f>IF(ISNUMBER(G10/B10),G10/B10," - ")</f>
        <v>3</v>
      </c>
      <c r="I10" s="451">
        <f>IF(ISNUMBER(Datos!L10),Datos!L10," - ")</f>
        <v>55</v>
      </c>
      <c r="J10" s="452">
        <f>IF(ISNUMBER(I10/B10),I10/B10," - ")</f>
        <v>55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4074</v>
      </c>
      <c r="D12" s="452">
        <f>IF(ISNUMBER(C12/Datos!BH12),C12/Datos!BH12," - ")</f>
        <v>679</v>
      </c>
      <c r="E12" s="451">
        <f>IF(ISNUMBER(IF(J_V="SI",Datos!J12,Datos!J12+Datos!Z12)),IF(J_V="SI",Datos!J12,Datos!J12+Datos!Z12)," - ")</f>
        <v>1529</v>
      </c>
      <c r="F12" s="452">
        <f>IF(ISNUMBER(E12/B12),E12/B12," - ")</f>
        <v>254.83333333333334</v>
      </c>
      <c r="G12" s="451">
        <f>IF(ISNUMBER(IF(J_V="SI",Datos!K12,Datos!K12+Datos!AA12)),IF(J_V="SI",Datos!K12,Datos!K12+Datos!AA12)," - ")</f>
        <v>1327</v>
      </c>
      <c r="H12" s="452">
        <f>IF(ISNUMBER(G12/B12),G12/B12," - ")</f>
        <v>221.16666666666666</v>
      </c>
      <c r="I12" s="451">
        <f>IF(ISNUMBER(IF(J_V="SI",Datos!L12,Datos!L12+Datos!AB12)),IF(J_V="SI",Datos!L12,Datos!L12+Datos!AB12)," - ")</f>
        <v>4156</v>
      </c>
      <c r="J12" s="452">
        <f>IF(ISNUMBER(I12/B12),I12/B12," - ")</f>
        <v>692.66666666666663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4143</v>
      </c>
      <c r="D14" s="1147" t="str">
        <f>IF(ISNUMBER(C14/Datos!BI14),C14/Datos!BI14," - ")</f>
        <v xml:space="preserve"> - </v>
      </c>
      <c r="E14" s="1146">
        <f>SUBTOTAL(9,E8:E13)</f>
        <v>1534</v>
      </c>
      <c r="F14" s="1147">
        <f>IF(ISNUMBER(E14/B14),E14/B14," - ")</f>
        <v>255.66666666666666</v>
      </c>
      <c r="G14" s="1146">
        <f>SUBTOTAL(9,G8:G13)</f>
        <v>1330</v>
      </c>
      <c r="H14" s="1147">
        <f>IF(ISNUMBER(G14/B14),G14/B14," - ")</f>
        <v>221.66666666666666</v>
      </c>
      <c r="I14" s="1146">
        <f>SUBTOTAL(9,I8:I13)</f>
        <v>4211</v>
      </c>
      <c r="J14" s="1147">
        <f>IF(ISNUMBER(I14/B14),I14/B14," - ")</f>
        <v>701.83333333333337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992</v>
      </c>
      <c r="D17" s="452">
        <f>IF(ISNUMBER(C17/Datos!BH17),C17/Datos!BH17," - ")</f>
        <v>165.33333333333334</v>
      </c>
      <c r="E17" s="451">
        <f>IF(ISNUMBER(IF(D_I="SI",Datos!J17,Datos!J17+Datos!AD17)),IF(D_I="SI",Datos!J17,Datos!J17+Datos!AD17)," - ")</f>
        <v>1202</v>
      </c>
      <c r="F17" s="452">
        <f>IF(ISNUMBER(E17/B17),E17/B17," - ")</f>
        <v>200.33333333333334</v>
      </c>
      <c r="G17" s="451">
        <f>IF(ISNUMBER(IF(D_I="SI",Datos!K17,Datos!K17+Datos!AE17)),IF(D_I="SI",Datos!K17,Datos!K17+Datos!AE17)," - ")</f>
        <v>1081</v>
      </c>
      <c r="H17" s="452">
        <f>IF(ISNUMBER(G17/B17),G17/B17," - ")</f>
        <v>180.16666666666666</v>
      </c>
      <c r="I17" s="451">
        <f>IF(ISNUMBER(IF(D_I="SI",Datos!L17,Datos!L17+Datos!AF17)),IF(D_I="SI",Datos!L17,Datos!L17+Datos!AF17)," - ")</f>
        <v>1124</v>
      </c>
      <c r="J17" s="452">
        <f>IF(ISNUMBER(I17/B17),I17/B17," - ")</f>
        <v>187.33333333333334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146</v>
      </c>
      <c r="D18" s="452">
        <f>IF(ISNUMBER(C18/Datos!BH18),C18/Datos!BH18," - ")</f>
        <v>146</v>
      </c>
      <c r="E18" s="451">
        <f>IF(ISNUMBER(IF(D_I="SI",Datos!J18,Datos!J18+Datos!AD18)),IF(D_I="SI",Datos!J18,Datos!J18+Datos!AD18)," - ")</f>
        <v>159</v>
      </c>
      <c r="F18" s="452">
        <f>IF(ISNUMBER(E18/B18),E18/B18," - ")</f>
        <v>159</v>
      </c>
      <c r="G18" s="451">
        <f>IF(ISNUMBER(IF(D_I="SI",Datos!K18,Datos!K18+Datos!AE18)),IF(D_I="SI",Datos!K18,Datos!K18+Datos!AE18)," - ")</f>
        <v>110</v>
      </c>
      <c r="H18" s="452">
        <f>IF(ISNUMBER(G18/B18),G18/B18," - ")</f>
        <v>110</v>
      </c>
      <c r="I18" s="451">
        <f>IF(ISNUMBER(IF(D_I="SI",Datos!L18,Datos!L18+Datos!AF18)),IF(D_I="SI",Datos!L18,Datos!L18+Datos!AF18)," - ")</f>
        <v>201</v>
      </c>
      <c r="J18" s="452">
        <f>IF(ISNUMBER(I18/B18),I18/B18," - ")</f>
        <v>201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1138</v>
      </c>
      <c r="D23" s="1147" t="str">
        <f>IF(ISNUMBER(C23/Datos!BI23),C23/Datos!BI23," - ")</f>
        <v xml:space="preserve"> - </v>
      </c>
      <c r="E23" s="1146">
        <f>SUBTOTAL(9,E15:E22)</f>
        <v>1361</v>
      </c>
      <c r="F23" s="1147">
        <f>IF(ISNUMBER(E23/B23),E23/B23," - ")</f>
        <v>226.83333333333334</v>
      </c>
      <c r="G23" s="1146">
        <f>SUBTOTAL(9,G15:G22)</f>
        <v>1191</v>
      </c>
      <c r="H23" s="1147">
        <f>IF(ISNUMBER(G23/B23),G23/B23," - ")</f>
        <v>198.5</v>
      </c>
      <c r="I23" s="1146">
        <f>SUBTOTAL(9,I15:I22)</f>
        <v>1325</v>
      </c>
      <c r="J23" s="1147">
        <f>IF(ISNUMBER(I23/B23),I23/B23," - ")</f>
        <v>220.83333333333334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5281</v>
      </c>
      <c r="D31" s="1085" t="str">
        <f>IF(ISNUMBER(C31/Datos!BI31),C31/Datos!BI31," - ")</f>
        <v xml:space="preserve"> - </v>
      </c>
      <c r="E31" s="1084">
        <f>SUBTOTAL(9,E9:E30)</f>
        <v>2895</v>
      </c>
      <c r="F31" s="1085">
        <f>IF(ISNUMBER(E31/B31),E31/B31," - ")</f>
        <v>482.5</v>
      </c>
      <c r="G31" s="1084">
        <f>SUBTOTAL(9,G9:G30)</f>
        <v>2521</v>
      </c>
      <c r="H31" s="1085">
        <f>IF(ISNUMBER(G31/B31),G31/B31," - ")</f>
        <v>420.16666666666669</v>
      </c>
      <c r="I31" s="1084">
        <f>SUBTOTAL(9,I9:I30)</f>
        <v>5536</v>
      </c>
      <c r="J31" s="1085">
        <f>IF(ISNUMBER(I31/B31),I31/B31," - ")</f>
        <v>922.66666666666663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9/dK9vmG4ou9Xe8JIVOWjN3OQIpvncYqyOdYjld/m8H9kPljJaieehouRzZORBSK2e9qQuojJzTxrWlgCY6SQ==" saltValue="YLnMww/e0HGxRuNxd7Ly9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COLMENAR VIEJO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53</v>
      </c>
      <c r="G10" s="906">
        <f>IF(ISNUMBER(Datos!I10),Datos!I10," - ")</f>
        <v>69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55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36.666666666666664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5628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215</v>
      </c>
      <c r="AM12" s="914">
        <f>IF(ISNUMBER(Datos!N12+DatosP!N17),Datos!N12+DatosP!N17," - ")</f>
        <v>709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6.2637528259231345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4.1034790365744866E-3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53</v>
      </c>
      <c r="G14" s="1256">
        <f t="shared" si="0"/>
        <v>69</v>
      </c>
      <c r="H14" s="1256">
        <f t="shared" si="0"/>
        <v>0</v>
      </c>
      <c r="I14" s="1258">
        <f t="shared" si="0"/>
        <v>0</v>
      </c>
      <c r="J14" s="1257">
        <f t="shared" si="0"/>
        <v>0</v>
      </c>
      <c r="K14" s="1257">
        <f t="shared" si="0"/>
        <v>0</v>
      </c>
      <c r="L14" s="1259">
        <f t="shared" si="0"/>
        <v>0</v>
      </c>
      <c r="M14" s="1259">
        <f t="shared" si="0"/>
        <v>0</v>
      </c>
      <c r="N14" s="1257">
        <f t="shared" si="0"/>
        <v>243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220</v>
      </c>
      <c r="AE14" s="1257">
        <f t="shared" si="1"/>
        <v>0</v>
      </c>
      <c r="AF14" s="1257">
        <f t="shared" si="1"/>
        <v>55</v>
      </c>
      <c r="AG14" s="1257">
        <f t="shared" si="1"/>
        <v>0</v>
      </c>
      <c r="AH14" s="1257">
        <f t="shared" si="1"/>
        <v>5628</v>
      </c>
      <c r="AI14" s="1257">
        <f t="shared" si="1"/>
        <v>0</v>
      </c>
      <c r="AJ14" s="1257">
        <f t="shared" si="1"/>
        <v>0</v>
      </c>
      <c r="AK14" s="1257">
        <f t="shared" si="1"/>
        <v>0</v>
      </c>
      <c r="AL14" s="1257">
        <f t="shared" si="1"/>
        <v>218</v>
      </c>
      <c r="AM14" s="1257">
        <f t="shared" si="1"/>
        <v>709</v>
      </c>
      <c r="AN14" s="1257">
        <f t="shared" si="1"/>
        <v>0</v>
      </c>
      <c r="AO14" s="1257">
        <f t="shared" si="1"/>
        <v>0</v>
      </c>
      <c r="AP14" s="1262">
        <f>IF(ISNUMBER(((Datos!L14/Datos!K14)*11)/factor_trimestre),((Datos!L14/Datos!K14)*11)/factor_trimestre," - ")</f>
        <v>6.7820069204152249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-5.6603773584905662E-2</v>
      </c>
      <c r="AU14" s="1257" t="str">
        <f>IF(ISNUMBER((DatosP!#REF!-DatosP!#REF!+DatosP!#REF!)/(DatosP!#REF!+DatosP!#REF!-DatosP!#REF!-DatosP!#REF!)),(DatosP!#REF!-DatosP!#REF!+DatosP!#REF!)/(DatosP!#REF!+DatosP!#REF!-DatosP!#REF!-DatosP!#REF!)," - ")</f>
        <v xml:space="preserve"> - </v>
      </c>
      <c r="AV14" s="1263">
        <f>SUBTOTAL(9,AV9:AV13)</f>
        <v>4.1034790365744866E-3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2.2250209907640639</v>
      </c>
      <c r="AQ23" s="1262">
        <f>IF(ISNUMBER(((Datos!M23/Datos!L23)*11)/factor_trimestre),((Datos!M23/Datos!L23)*11)/factor_trimestre," - ")</f>
        <v>0.17207547169811321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2.3529411764705882E-2</v>
      </c>
      <c r="AW23" s="1265">
        <f>IF(ISNUMBER((Datos!Q23-Datos!R23)/(Datos!S23-Datos!Q23+Datos!R23)),(Datos!Q23-Datos!R23)/(Datos!S23-Datos!Q23+Datos!R23)," - ")</f>
        <v>-0.17561349693251535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53</v>
      </c>
      <c r="G31" s="1278">
        <f t="shared" si="8"/>
        <v>69</v>
      </c>
      <c r="H31" s="1278">
        <f t="shared" si="8"/>
        <v>0</v>
      </c>
      <c r="I31" s="1279">
        <f t="shared" si="8"/>
        <v>0</v>
      </c>
      <c r="J31" s="1280">
        <f t="shared" si="8"/>
        <v>0</v>
      </c>
      <c r="K31" s="1280">
        <f t="shared" si="8"/>
        <v>0</v>
      </c>
      <c r="L31" s="1280">
        <f t="shared" si="8"/>
        <v>0</v>
      </c>
      <c r="M31" s="1280">
        <f t="shared" si="8"/>
        <v>0</v>
      </c>
      <c r="N31" s="1279">
        <f t="shared" si="8"/>
        <v>243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220</v>
      </c>
      <c r="AE31" s="1284">
        <f t="shared" si="9"/>
        <v>0</v>
      </c>
      <c r="AF31" s="1285">
        <f t="shared" si="9"/>
        <v>55</v>
      </c>
      <c r="AG31" s="1285">
        <f t="shared" si="9"/>
        <v>0</v>
      </c>
      <c r="AH31" s="1285">
        <f t="shared" si="9"/>
        <v>5628</v>
      </c>
      <c r="AI31" s="1285">
        <f t="shared" si="9"/>
        <v>0</v>
      </c>
      <c r="AJ31" s="1286">
        <f t="shared" si="9"/>
        <v>0</v>
      </c>
      <c r="AK31" s="1286">
        <f t="shared" si="9"/>
        <v>0</v>
      </c>
      <c r="AL31" s="1278">
        <f t="shared" si="9"/>
        <v>218</v>
      </c>
      <c r="AM31" s="1278">
        <f t="shared" si="9"/>
        <v>709</v>
      </c>
      <c r="AN31" s="1278">
        <f t="shared" si="9"/>
        <v>0</v>
      </c>
      <c r="AO31" s="1278">
        <f t="shared" si="9"/>
        <v>0</v>
      </c>
      <c r="AP31" s="1278">
        <f>IF(ISNUMBER(((Datos!L31/Datos!K31)*11)/factor_trimestre),((Datos!L31/Datos!K31)*11)/factor_trimestre," - ")</f>
        <v>4.4695355773327652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-5.6603773584905662E-2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4.9277824978759561E-3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29.029295547773806</v>
      </c>
      <c r="G33" s="1007">
        <f>IF(ISNUMBER(STDEV(G8:G30)),STDEV(G8:G30),"-")</f>
        <v>37.79285646785646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111.42291804950482</v>
      </c>
      <c r="AM33" s="1006"/>
      <c r="AN33" s="1006">
        <f>IF(ISNUMBER(STDEV(AN8:AN30)),STDEV(AN8:AN30),"-")</f>
        <v>0</v>
      </c>
      <c r="AO33" s="1012">
        <f>IF(ISNUMBER(STDEV(AO8:AO30)),STDEV(AO8:AO30),"-")</f>
        <v>0</v>
      </c>
      <c r="AP33" s="1065">
        <f>IF(ISNUMBER(STDEV(AP8:AP30)),STDEV(AP8:AP30),"-")</f>
        <v>15.919074192948376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MrbB6JwOci5MjrF+Wm8vXGwGPvi9UFc2iuGsS8BAEXHjosq4URXa9WnGvnjLrFdzKcFNPR7w9qKS4cBahK7LA==" saltValue="tMQX6NFzfgV4UsMtcaAI8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COLMENAR VIEJO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kODoo21vHRikdQBUhiXF7E1iIsbDlZUQEcUBnUJFp8Pxd89YcgqI2tOEcdwV3y1SIS3sB37BVqHjPceZDRtkg==" saltValue="QqIC++wXhybZ9YknUv1pk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COLMENAR VIEJO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215</v>
      </c>
      <c r="E12" s="452">
        <f t="shared" si="0"/>
        <v>35.833333333333336</v>
      </c>
      <c r="F12" s="451">
        <f>IF(ISNUMBER(Datos!N12),Datos!N12," - ")</f>
        <v>709</v>
      </c>
      <c r="G12" s="452">
        <f t="shared" si="1"/>
        <v>118.16666666666667</v>
      </c>
      <c r="H12" s="451">
        <f>IF(ISNUMBER(Datos!O12),Datos!O12," - ")</f>
        <v>453</v>
      </c>
      <c r="I12" s="452">
        <f t="shared" si="2"/>
        <v>75.5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218</v>
      </c>
      <c r="E14" s="1147">
        <f t="shared" si="0"/>
        <v>31.142857142857142</v>
      </c>
      <c r="F14" s="1146">
        <f>SUBTOTAL(9,F9:F13)</f>
        <v>709</v>
      </c>
      <c r="G14" s="1147">
        <f t="shared" si="1"/>
        <v>101.28571428571429</v>
      </c>
      <c r="H14" s="1146">
        <f>SUBTOTAL(9,H9:H13)</f>
        <v>453</v>
      </c>
      <c r="I14" s="1147">
        <f>IF(ISNUMBER(H14/B14),H14/B14," - ")</f>
        <v>64.714285714285708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109</v>
      </c>
      <c r="E17" s="452">
        <f t="shared" si="3"/>
        <v>18.166666666666668</v>
      </c>
      <c r="F17" s="451">
        <f>IF(ISNUMBER(Datos!N17),Datos!N17," - ")</f>
        <v>634</v>
      </c>
      <c r="G17" s="452">
        <f t="shared" si="4"/>
        <v>105.66666666666667</v>
      </c>
      <c r="H17" s="451">
        <f>IF(ISNUMBER(Datos!O17),Datos!O17," - ")</f>
        <v>11</v>
      </c>
      <c r="I17" s="452">
        <f t="shared" si="5"/>
        <v>1.8333333333333333</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32</v>
      </c>
      <c r="G18" s="452">
        <f>IF(ISNUMBER(F18/B18),F18/B18," - ")</f>
        <v>32</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114</v>
      </c>
      <c r="E23" s="1147">
        <f t="shared" si="3"/>
        <v>16.285714285714285</v>
      </c>
      <c r="F23" s="1146">
        <f>SUBTOTAL(9,F16:F22)</f>
        <v>666</v>
      </c>
      <c r="G23" s="1147">
        <f t="shared" si="4"/>
        <v>95.142857142857139</v>
      </c>
      <c r="H23" s="1146">
        <f>SUBTOTAL(9,H16:H22)</f>
        <v>13</v>
      </c>
      <c r="I23" s="1147">
        <f>IF(ISNUMBER(H23/B23),H23/B23," - ")</f>
        <v>1.8571428571428572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332</v>
      </c>
      <c r="E31" s="1085">
        <f>IF(ISNUMBER(D31/B31),D31/B31," - ")</f>
        <v>55.333333333333336</v>
      </c>
      <c r="F31" s="1084">
        <f>SUBTOTAL(9,F8:F30)</f>
        <v>1375</v>
      </c>
      <c r="G31" s="1085">
        <f>IF(ISNUMBER(F31/B31),F31/B31," - ")</f>
        <v>229.16666666666666</v>
      </c>
      <c r="H31" s="1084">
        <f>SUBTOTAL(9,H8:H30)</f>
        <v>466</v>
      </c>
      <c r="I31" s="1085">
        <f>IF(ISNUMBER(H31/B31),H31/B31," - ")</f>
        <v>77.666666666666671</v>
      </c>
    </row>
    <row r="34" spans="1:1">
      <c r="A34" s="439" t="str">
        <f>Criterios!A4</f>
        <v>Fecha Informe: 06 may. 2023</v>
      </c>
    </row>
    <row r="39" spans="1:1">
      <c r="A39" s="462"/>
    </row>
  </sheetData>
  <sheetProtection algorithmName="SHA-512" hashValue="d4XS21tg6JOnsD9rOgIPCB3d4cNDweCOe3EHc7K3nFTtrYAM4kzpcGL3SJd01/Ts0ZEwAsRyvAgXIDIWaGM9Iw==" saltValue="JLR6jOA4s4cWJ49k5AKr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COLMENAR VIEJO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243</v>
      </c>
      <c r="C12" s="489">
        <f>IF(ISNUMBER(Datos!Q12),Datos!Q12," - ")</f>
        <v>220</v>
      </c>
      <c r="D12" s="456">
        <f>IF(ISNUMBER(Datos!R12),Datos!R12," - ")</f>
        <v>5628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243</v>
      </c>
      <c r="C14" s="1150">
        <f>SUBTOTAL(9,C9:C13)</f>
        <v>220</v>
      </c>
      <c r="D14" s="1148">
        <f>SUBTOTAL(9,D9:D13)</f>
        <v>5653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37</v>
      </c>
      <c r="C17" s="489">
        <f>IF(ISNUMBER(Datos!Q17),Datos!Q17," - ")</f>
        <v>30</v>
      </c>
      <c r="D17" s="456">
        <f>IF(ISNUMBER(Datos!R17),Datos!R17," - ")</f>
        <v>255</v>
      </c>
    </row>
    <row r="18" spans="1:4">
      <c r="A18" s="450" t="str">
        <f>Datos!A18</f>
        <v>Jdos. Violencia contra la mujer</v>
      </c>
      <c r="B18" s="488">
        <f>IF(ISNUMBER(Datos!P18),Datos!P18," - ")</f>
        <v>1</v>
      </c>
      <c r="C18" s="489">
        <f>IF(ISNUMBER(Datos!Q18),Datos!Q18," - ")</f>
        <v>2</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38</v>
      </c>
      <c r="C23" s="1150">
        <f>SUBTOTAL(9,C16:C22)</f>
        <v>32</v>
      </c>
      <c r="D23" s="1148">
        <f>SUBTOTAL(9,D16:D22)</f>
        <v>261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281</v>
      </c>
      <c r="C31" s="1089">
        <f>SUBTOTAL(9,C8:C30)</f>
        <v>252</v>
      </c>
      <c r="D31" s="1090">
        <f>SUBTOTAL(9,D8:D30)</f>
        <v>5914</v>
      </c>
    </row>
    <row r="32" spans="1:4" ht="7.5" customHeight="1"/>
    <row r="33" spans="1:1" ht="6" customHeight="1"/>
    <row r="34" spans="1:1">
      <c r="A34" s="439" t="str">
        <f>Criterios!A4</f>
        <v>Fecha Informe: 06 may. 2023</v>
      </c>
    </row>
    <row r="39" spans="1:1">
      <c r="A39" s="462"/>
    </row>
  </sheetData>
  <sheetProtection algorithmName="SHA-512" hashValue="rOgxzlF47n1UIRZjRnZXOLeJX93Y6NVluBK7q3UiPAGVbPnRg4WZP5kIHhzqpssz9rDEro5qWOpXx5dTwg4/nw==" saltValue="9fWXYBUW4hwUpaiaBhGG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COLMENAR VIEJO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-0.20289855072463769</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7.8633836378077845E-2</v>
      </c>
      <c r="C12" s="515">
        <f>IF(ISNUMBER(
   IF(J_V="SI",(Datos!J12-Datos!T12)/Datos!T12,(Datos!J12+Datos!Z12-(Datos!T12+Datos!AH12))/(Datos!T12+Datos!AH12))
     ),IF(J_V="SI",(Datos!J12-Datos!T12)/Datos!T12,(Datos!J12+Datos!Z12-(Datos!T12+Datos!AH12))/(Datos!T12+Datos!AH12))," - ")</f>
        <v>-4.1379310344827586E-2</v>
      </c>
      <c r="D12" s="515">
        <f>IF(ISNUMBER(
   IF(J_V="SI",(Datos!K12-Datos!U12)/Datos!U12,(Datos!K12+Datos!AA12-(Datos!U12+Datos!AI12))/(Datos!U12+Datos!AI12))
     ),IF(J_V="SI",(Datos!K12-Datos!U12)/Datos!U12,(Datos!K12+Datos!AA12-(Datos!U12+Datos!AI12))/(Datos!U12+Datos!AI12))," - ")</f>
        <v>-0.10277214334009466</v>
      </c>
      <c r="E12" s="515">
        <f>IF(ISNUMBER(
   IF(J_V="SI",(Datos!L12-Datos!V12)/Datos!V12,(Datos!L12+Datos!AB12-(Datos!V12+Datos!AJ12))/(Datos!V12+Datos!AJ12))
     ),IF(J_V="SI",(Datos!L12-Datos!V12)/Datos!V12,(Datos!L12+Datos!AB12-(Datos!V12+Datos!AJ12))/(Datos!V12+Datos!AJ12))," - ")</f>
        <v>0.15766016713091921</v>
      </c>
      <c r="F12" s="515">
        <f>IF(ISNUMBER((Datos!M12-Datos!W12)/Datos!W12),(Datos!M12-Datos!W12)/Datos!W12," - ")</f>
        <v>0.24277456647398843</v>
      </c>
      <c r="G12" s="516">
        <f>IF(ISNUMBER((Datos!N12-Datos!X12)/Datos!X12),(Datos!N12-Datos!X12)/Datos!X12," - ")</f>
        <v>-0.14475271411338964</v>
      </c>
      <c r="H12" s="514">
        <f>IF(ISNUMBER(((NºAsuntos!G12/NºAsuntos!E12)-Datos!BD12)/Datos!BD12),((NºAsuntos!G12/NºAsuntos!E12)-Datos!BD12)/Datos!BD12," - ")</f>
        <v>-6.4042883340386519E-2</v>
      </c>
      <c r="I12" s="515">
        <f>IF(ISNUMBER(((NºAsuntos!I12/NºAsuntos!G12)-Datos!BE12)/Datos!BE12),((NºAsuntos!I12/NºAsuntos!G12)-Datos!BE12)/Datos!BE12," - ")</f>
        <v>0.29026329102232806</v>
      </c>
      <c r="J12" s="521">
        <f>IF(ISNUMBER((('Resol  Asuntos'!D12/NºAsuntos!G12)-Datos!BF12)/Datos!BF12),(('Resol  Asuntos'!D12/NºAsuntos!G12)-Datos!BF12)/Datos!BF12," - ")</f>
        <v>-0.71094453782123712</v>
      </c>
      <c r="K12" s="522">
        <f>IF(ISNUMBER((((NºAsuntos!C12+NºAsuntos!E12)/NºAsuntos!G12)-Datos!BG12)/Datos!BG12),(((NºAsuntos!C12+NºAsuntos!E12)/NºAsuntos!G12)-Datos!BG12)/Datos!BG12," - ")</f>
        <v>0.16247030992149425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7.7223088923556948E-2</v>
      </c>
      <c r="C14" s="1152">
        <f>IF(ISNUMBER(
   IF(J_V="SI",(Datos!J14-Datos!T14)/Datos!T14,(Datos!J14+Datos!Z14-(Datos!T14+Datos!AH14))/(Datos!T14+Datos!AH14))
     ),IF(J_V="SI",(Datos!J14-Datos!T14)/Datos!T14,(Datos!J14+Datos!Z14-(Datos!T14+Datos!AH14))/(Datos!T14+Datos!AH14))," - ")</f>
        <v>-3.8244514106583069E-2</v>
      </c>
      <c r="D14" s="1152">
        <f>IF(ISNUMBER(
   IF(J_V="SI",(Datos!K14-Datos!U14)/Datos!U14,(Datos!K14+Datos!AA14-(Datos!U14+Datos!AI14))/(Datos!U14+Datos!AI14))
     ),IF(J_V="SI",(Datos!K14-Datos!U14)/Datos!U14,(Datos!K14+Datos!AA14-(Datos!U14+Datos!AI14))/(Datos!U14+Datos!AI14))," - ")</f>
        <v>-0.10074374577417174</v>
      </c>
      <c r="E14" s="1152">
        <f>IF(ISNUMBER(
   IF(J_V="SI",(Datos!L14-Datos!V14)/Datos!V14,(Datos!L14+Datos!AB14-(Datos!V14+Datos!AJ14))/(Datos!V14+Datos!AJ14))
     ),IF(J_V="SI",(Datos!L14-Datos!V14)/Datos!V14,(Datos!L14+Datos!AB14-(Datos!V14+Datos!AJ14))/(Datos!V14+Datos!AJ14))," - ")</f>
        <v>0.15086089095381253</v>
      </c>
      <c r="F14" s="1153">
        <f>IF(ISNUMBER((Datos!M14-Datos!W14)/Datos!W14),(Datos!M14-Datos!W14)/Datos!W14," - ")</f>
        <v>0.26011560693641617</v>
      </c>
      <c r="G14" s="1154">
        <f>IF(ISNUMBER((Datos!N14-Datos!X14)/Datos!X14),(Datos!N14-Datos!X14)/Datos!X14," - ")</f>
        <v>-0.14475271411338964</v>
      </c>
      <c r="H14" s="1154">
        <f>IF(ISNUMBER(((NºAsuntos!G14/NºAsuntos!E14)-Datos!BD14)/Datos!BD14),((NºAsuntos!G14/NºAsuntos!E14)-Datos!BD14)/Datos!BD14," - ")</f>
        <v>-6.4984533578750933E-2</v>
      </c>
      <c r="I14" s="1154">
        <f>IF(ISNUMBER(((NºAsuntos!I14/NºAsuntos!G14)-Datos!BE14)/Datos!BE14),((NºAsuntos!I14/NºAsuntos!G14)-Datos!BE14)/Datos!BE14," - ")</f>
        <v>0.27979192309826223</v>
      </c>
      <c r="J14" s="1154">
        <f>IF(ISNUMBER((('Resol  Asuntos'!D14/NºAsuntos!G14)-Datos!BF14)/Datos!BF14),(('Resol  Asuntos'!D14/NºAsuntos!G14)-Datos!BF14)/Datos!BF14," - ")</f>
        <v>-0.70757230833416473</v>
      </c>
      <c r="K14" s="1154">
        <f>IF(ISNUMBER((((NºAsuntos!C14+NºAsuntos!E14)/NºAsuntos!G14)-Datos!BG14)/Datos!BG14),(((NºAsuntos!C14+NºAsuntos!E14)/NºAsuntos!G14)-Datos!BG14)/Datos!BG14," - ")</f>
        <v>0.16026368991768164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-1.4895729890764648E-2</v>
      </c>
      <c r="C17" s="515">
        <f>IF(ISNUMBER(
   IF(D_I="SI",(Datos!J17-Datos!T17)/Datos!T17,(Datos!J17+Datos!AD17-(Datos!T17+Datos!AL17))/(Datos!T17+Datos!AL17))
     ),IF(D_I="SI",(Datos!J17-Datos!T17)/Datos!T17,(Datos!J17+Datos!AD17-(Datos!T17+Datos!AL17))/(Datos!T17+Datos!AL17))," - ")</f>
        <v>-4.9668874172185433E-3</v>
      </c>
      <c r="D17" s="515">
        <f>IF(ISNUMBER(
   IF(D_I="SI",(Datos!K17-Datos!U17)/Datos!U17,(Datos!K17+Datos!AE17-(Datos!U17+Datos!AM17))/(Datos!U17+Datos!AM17))
     ),IF(D_I="SI",(Datos!K17-Datos!U17)/Datos!U17,(Datos!K17+Datos!AE17-(Datos!U17+Datos!AM17))/(Datos!U17+Datos!AM17))," - ")</f>
        <v>-0.11101973684210527</v>
      </c>
      <c r="E17" s="515">
        <f>IF(ISNUMBER(
   IF(D_I="SI",(Datos!L17-Datos!V17)/Datos!V17,(Datos!L17+Datos!AF17-(Datos!V17+Datos!AN17))/(Datos!V17+Datos!AN17))
     ),IF(D_I="SI",(Datos!L17-Datos!V17)/Datos!V17,(Datos!L17+Datos!AF17-(Datos!V17+Datos!AN17))/(Datos!V17+Datos!AN17))," - ")</f>
        <v>9.23226433430515E-2</v>
      </c>
      <c r="F17" s="515">
        <f>IF(ISNUMBER((Datos!M17-Datos!W17)/Datos!W17),(Datos!M17-Datos!W17)/Datos!W17," - ")</f>
        <v>-6.8376068376068383E-2</v>
      </c>
      <c r="G17" s="516">
        <f>IF(ISNUMBER((Datos!N17-Datos!X17)/Datos!X17),(Datos!N17-Datos!X17)/Datos!X17," - ")</f>
        <v>-0.11821974965229486</v>
      </c>
      <c r="H17" s="514">
        <f>IF(ISNUMBER(((NºAsuntos!G17/NºAsuntos!E17)-Datos!BD17)/Datos!BD17),((NºAsuntos!G17/NºAsuntos!E17)-Datos!BD17)/Datos!BD17," - ")</f>
        <v>-0.1065822313687714</v>
      </c>
      <c r="I17" s="515">
        <f>IF(ISNUMBER(((NºAsuntos!I17/NºAsuntos!G17)-Datos!BE17)/Datos!BE17),((NºAsuntos!I17/NºAsuntos!G17)-Datos!BE17)/Datos!BE17," - ")</f>
        <v>0.22873666448210067</v>
      </c>
      <c r="J17" s="521">
        <f>IF(ISNUMBER((('Resol  Asuntos'!D17/NºAsuntos!G17)-Datos!BF17)/Datos!BF17),(('Resol  Asuntos'!D17/NºAsuntos!G17)-Datos!BF17)/Datos!BF17," - ")</f>
        <v>4.7969195980296822E-2</v>
      </c>
      <c r="K17" s="522">
        <f>IF(ISNUMBER((((NºAsuntos!C17+NºAsuntos!E17)/NºAsuntos!G17)-Datos!BG17)/Datos!BG17),(((NºAsuntos!C17+NºAsuntos!E17)/NºAsuntos!G17)-Datos!BG17)/Datos!BG17," - ")</f>
        <v>0.11421954840743991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1.1470588235294117</v>
      </c>
      <c r="C18" s="515">
        <f>IF(ISNUMBER(
   IF(D_I="SI",(Datos!J18-Datos!T18)/Datos!T18,(Datos!J18+Datos!AD18-(Datos!T18+Datos!AL18))/(Datos!T18+Datos!AL18))
     ),IF(D_I="SI",(Datos!J18-Datos!T18)/Datos!T18,(Datos!J18+Datos!AD18-(Datos!T18+Datos!AL18))/(Datos!T18+Datos!AL18))," - ")</f>
        <v>5.9130434782608692</v>
      </c>
      <c r="D18" s="515">
        <f>IF(ISNUMBER(
   IF(D_I="SI",(Datos!K18-Datos!U18)/Datos!U18,(Datos!K18+Datos!AE18-(Datos!U18+Datos!AM18))/(Datos!U18+Datos!AM18))
     ),IF(D_I="SI",(Datos!K18-Datos!U18)/Datos!U18,(Datos!K18+Datos!AE18-(Datos!U18+Datos!AM18))/(Datos!U18+Datos!AM18))," - ")</f>
        <v>4.7894736842105265</v>
      </c>
      <c r="E18" s="515">
        <f>IF(ISNUMBER(
   IF(D_I="SI",(Datos!L18-Datos!V18)/Datos!V18,(Datos!L18+Datos!AF18-(Datos!V18+Datos!AN18))/(Datos!V18+Datos!AN18))
     ),IF(D_I="SI",(Datos!L18-Datos!V18)/Datos!V18,(Datos!L18+Datos!AF18-(Datos!V18+Datos!AN18))/(Datos!V18+Datos!AN18))," - ")</f>
        <v>1.7162162162162162</v>
      </c>
      <c r="F18" s="515">
        <f>IF(ISNUMBER((Datos!M18-Datos!W18)/Datos!W18),(Datos!M18-Datos!W18)/Datos!W18," - ")</f>
        <v>4</v>
      </c>
      <c r="G18" s="516">
        <f>IF(ISNUMBER((Datos!N18-Datos!X18)/Datos!X18),(Datos!N18-Datos!X18)/Datos!X18," - ")</f>
        <v>3</v>
      </c>
      <c r="H18" s="514">
        <f>IF(ISNUMBER(((NºAsuntos!G18/NºAsuntos!E18)-Datos!BD18)/Datos!BD18),((NºAsuntos!G18/NºAsuntos!E18)-Datos!BD18)/Datos!BD18," - ")</f>
        <v>-0.16252896391923211</v>
      </c>
      <c r="I18" s="515">
        <f>IF(ISNUMBER(((NºAsuntos!I18/NºAsuntos!G18)-Datos!BE18)/Datos!BE18),((NºAsuntos!I18/NºAsuntos!G18)-Datos!BE18)/Datos!BE18," - ")</f>
        <v>-0.53083538083538073</v>
      </c>
      <c r="J18" s="521">
        <f>IF(ISNUMBER((('Resol  Asuntos'!D18/NºAsuntos!G18)-Datos!BF18)/Datos!BF18),(('Resol  Asuntos'!D18/NºAsuntos!G18)-Datos!BF18)/Datos!BF18," - ")</f>
        <v>-0.1363636363636363</v>
      </c>
      <c r="K18" s="522">
        <f>IF(ISNUMBER((((NºAsuntos!C18+NºAsuntos!E18)/NºAsuntos!G18)-Datos!BG18)/Datos!BG18),(((NºAsuntos!C18+NºAsuntos!E18)/NºAsuntos!G18)-Datos!BG18)/Datos!BG18," - ")</f>
        <v>-0.42107892107892109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5.8604651162790698E-2</v>
      </c>
      <c r="C23" s="1152">
        <f>IF(ISNUMBER(
   IF(Criterios!B14="SI",(Datos!J23-Datos!T23)/Datos!T23,(Datos!J23+Datos!AD23-(Datos!T23+Datos!AL23))/(Datos!T23+Datos!AL23))
     ),IF(Criterios!B14="SI",(Datos!J23-Datos!T23)/Datos!T23,(Datos!J23+Datos!AD23-(Datos!T23+Datos!AL23))/(Datos!T23+Datos!AL23))," - ")</f>
        <v>0.10560519902518278</v>
      </c>
      <c r="D23" s="1152">
        <f>IF(ISNUMBER(
   IF(Criterios!B14="SI",(Datos!K23-Datos!U23)/Datos!U23,(Datos!K23+Datos!AE23-(Datos!U23+Datos!AM23))/(Datos!U23+Datos!AM23))
     ),IF(Criterios!B14="SI",(Datos!K23-Datos!U23)/Datos!U23,(Datos!K23+Datos!AE23-(Datos!U23+Datos!AM23))/(Datos!U23+Datos!AM23))," - ")</f>
        <v>-3.5627530364372467E-2</v>
      </c>
      <c r="E23" s="1152">
        <f>IF(ISNUMBER(
   IF(Criterios!B14="SI",(Datos!L23-Datos!V23)/Datos!V23,(Datos!L23+Datos!AF23-(Datos!V23+Datos!AN23))/(Datos!V23+Datos!AN23))
     ),IF(Criterios!B14="SI",(Datos!L23-Datos!V23)/Datos!V23,(Datos!L23+Datos!AF23-(Datos!V23+Datos!AN23))/(Datos!V23+Datos!AN23))," - ")</f>
        <v>0.20126926563916592</v>
      </c>
      <c r="F23" s="1153">
        <f>IF(ISNUMBER((Datos!M23-Datos!W23)/Datos!W23),(Datos!M23-Datos!W23)/Datos!W23," - ")</f>
        <v>-3.3898305084745763E-2</v>
      </c>
      <c r="G23" s="1154">
        <f>IF(ISNUMBER((Datos!N23-Datos!X23)/Datos!X23),(Datos!N23-Datos!X23)/Datos!X23," - ")</f>
        <v>-8.3906464924346627E-2</v>
      </c>
      <c r="H23" s="1154">
        <f>IF(ISNUMBER(((NºAsuntos!G23/NºAsuntos!E23)-Datos!BD23)/Datos!BD23),((NºAsuntos!G23/NºAsuntos!E23)-Datos!BD23)/Datos!BD23," - ")</f>
        <v>-0.12774246133618108</v>
      </c>
      <c r="I23" s="1154">
        <f>IF(ISNUMBER(((NºAsuntos!I23/NºAsuntos!G23)-Datos!BE23)/Datos!BE23),((NºAsuntos!I23/NºAsuntos!G23)-Datos!BE23)/Datos!BE23," - ")</f>
        <v>0.2456486507677329</v>
      </c>
      <c r="J23" s="1154">
        <f>IF(ISNUMBER((('Resol  Asuntos'!D23/NºAsuntos!G23)-Datos!BF23)/Datos!BF23),(('Resol  Asuntos'!D23/NºAsuntos!G23)-Datos!BF23)/Datos!BF23," - ")</f>
        <v>1.7931093369764424E-3</v>
      </c>
      <c r="K23" s="1154">
        <f>IF(ISNUMBER((((NºAsuntos!C23+NºAsuntos!E23)/NºAsuntos!G23)-Datos!BG23)/Datos!BG23),(((NºAsuntos!C23+NºAsuntos!E23)/NºAsuntos!G23)-Datos!BG23)/Datos!BG23," - ")</f>
        <v>0.12373045018908085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7.3155862629546833E-2</v>
      </c>
      <c r="C31" s="1092">
        <f>IF(ISNUMBER(
   IF(J_V="SI",(Datos!J31-Datos!T31)/Datos!T31,(Datos!J31+Datos!Z31-(Datos!T31+Datos!AH31))/(Datos!T31+Datos!AH31))
     ),IF(J_V="SI",(Datos!J31-Datos!T31)/Datos!T31,(Datos!J31+Datos!Z31-(Datos!T31+Datos!AH31))/(Datos!T31+Datos!AH31))," - ")</f>
        <v>2.4416135881104035E-2</v>
      </c>
      <c r="D31" s="1092">
        <f>IF(ISNUMBER(
   IF(J_V="SI",(Datos!K31-Datos!U31)/Datos!U31,(Datos!K31+Datos!AA31-(Datos!U31+Datos!AI31))/(Datos!U31+Datos!AI31))
     ),IF(J_V="SI",(Datos!K31-Datos!U31)/Datos!U31,(Datos!K31+Datos!AA31-(Datos!U31+Datos!AI31))/(Datos!U31+Datos!AI31))," - ")</f>
        <v>-7.1112748710390569E-2</v>
      </c>
      <c r="E31" s="1092">
        <f>IF(ISNUMBER(
   IF(J_V="SI",(Datos!L31-Datos!V31)/Datos!V31,(Datos!L31+Datos!AB31-(Datos!V31+Datos!AJ31))/(Datos!V31+Datos!AJ31))
     ),IF(J_V="SI",(Datos!L31-Datos!V31)/Datos!V31,(Datos!L31+Datos!AB31-(Datos!V31+Datos!AJ31))/(Datos!V31+Datos!AJ31))," - ")</f>
        <v>0.16253674926501471</v>
      </c>
      <c r="F31" s="1093">
        <f>IF(ISNUMBER((Datos!M31-Datos!W31)/Datos!W31),(Datos!M31-Datos!W31)/Datos!W31," - ")</f>
        <v>0.14089347079037801</v>
      </c>
      <c r="G31" s="1094">
        <f>IF(ISNUMBER((Datos!N31-Datos!X31)/Datos!X31),(Datos!N31-Datos!X31)/Datos!X31," - ")</f>
        <v>-0.11632390745501285</v>
      </c>
      <c r="H31" s="1095">
        <f>IF(ISNUMBER((Tasas!B31-Datos!BD31)/Datos!BD31),(Tasas!B31-Datos!BD31)/Datos!BD31," - ")</f>
        <v>-9.3252030347344958E-2</v>
      </c>
      <c r="I31" s="1096">
        <f>IF(ISNUMBER((Tasas!C31-Datos!BE31)/Datos!BE31),(Tasas!C31-Datos!BE31)/Datos!BE31," - ")</f>
        <v>0.25153698433369681</v>
      </c>
      <c r="J31" s="1097">
        <f>IF(ISNUMBER((Tasas!D31-Datos!BF31)/Datos!BF31),(Tasas!D31-Datos!BF31)/Datos!BF31," - ")</f>
        <v>-0.62257983309785969</v>
      </c>
      <c r="K31" s="1097">
        <f>IF(ISNUMBER((Tasas!E31-Datos!BG31)/Datos!BG31),(Tasas!E31-Datos!BG31)/Datos!BG31," - ")</f>
        <v>0.13617263367729157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vV2/utWbLQE4sbpXwmZkgbXDVMjFG/p8slcB0frBBikgHuzGtEtUlYYlU8QGZhcw+ITKuTLNLGBhYlyrskQrQ==" saltValue="N8fEWRXFxQ0BtwooA++h3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COLMENAR VIEJO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v>
      </c>
      <c r="C10" s="498">
        <f>IF(ISNUMBER(NºAsuntos!I10/NºAsuntos!G10),NºAsuntos!I10/NºAsuntos!G10," - ")</f>
        <v>18.333333333333332</v>
      </c>
      <c r="D10" s="499">
        <f>IF(ISNUMBER('Resol  Asuntos'!D10/NºAsuntos!G10),'Resol  Asuntos'!D10/NºAsuntos!G10," - ")</f>
        <v>1</v>
      </c>
      <c r="E10" s="500">
        <f>IF(ISNUMBER((NºAsuntos!C10+NºAsuntos!E10)/NºAsuntos!G10),(NºAsuntos!C10+NºAsuntos!E10)/NºAsuntos!G10," - ")</f>
        <v>24.666666666666668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0.86788750817527793</v>
      </c>
      <c r="C12" s="498">
        <f>IF(ISNUMBER(NºAsuntos!I12/NºAsuntos!G12),NºAsuntos!I12/NºAsuntos!G12," - ")</f>
        <v>3.1318764129615673</v>
      </c>
      <c r="D12" s="499">
        <f>IF(ISNUMBER('Resol  Asuntos'!D12/NºAsuntos!G12),'Resol  Asuntos'!D12/NºAsuntos!G12," - ")</f>
        <v>0.16201959306706856</v>
      </c>
      <c r="E12" s="500">
        <f>IF(ISNUMBER((NºAsuntos!C12+NºAsuntos!E12)/NºAsuntos!G12),(NºAsuntos!C12+NºAsuntos!E12)/NºAsuntos!G12," - ")</f>
        <v>4.2223059532780711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0.86701434159061275</v>
      </c>
      <c r="C14" s="1156">
        <f>IF(ISNUMBER(NºAsuntos!I14/NºAsuntos!G14),NºAsuntos!I14/NºAsuntos!G14," - ")</f>
        <v>3.1661654135338346</v>
      </c>
      <c r="D14" s="1157">
        <f>IF(ISNUMBER('Resol  Asuntos'!D14/NºAsuntos!G14),'Resol  Asuntos'!D14/NºAsuntos!G14," - ")</f>
        <v>0.16390977443609023</v>
      </c>
      <c r="E14" s="1158">
        <f>IF(ISNUMBER((NºAsuntos!C14+NºAsuntos!E14)/NºAsuntos!G14),(NºAsuntos!C14+NºAsuntos!E14)/NºAsuntos!G14," - ")</f>
        <v>4.2684210526315791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0.89933444259567386</v>
      </c>
      <c r="C17" s="498">
        <f>IF(ISNUMBER(NºAsuntos!I17/NºAsuntos!G17),NºAsuntos!I17/NºAsuntos!G17," - ")</f>
        <v>1.0397779833487513</v>
      </c>
      <c r="D17" s="499">
        <f>IF(ISNUMBER('Resol  Asuntos'!D17/NºAsuntos!G17),'Resol  Asuntos'!D17/NºAsuntos!G17," - ")</f>
        <v>0.10083256244218317</v>
      </c>
      <c r="E17" s="500">
        <f>IF(ISNUMBER((NºAsuntos!C17+NºAsuntos!E17)/NºAsuntos!G17),(NºAsuntos!C17+NºAsuntos!E17)/NºAsuntos!G17," - ")</f>
        <v>2.0296022201665127</v>
      </c>
      <c r="G17" s="523"/>
    </row>
    <row r="18" spans="1:7">
      <c r="A18" s="450" t="str">
        <f>Datos!A18</f>
        <v>Jdos. Violencia contra la mujer</v>
      </c>
      <c r="B18" s="497">
        <f>IF(ISNUMBER(NºAsuntos!G18/NºAsuntos!E18),NºAsuntos!G18/NºAsuntos!E18," - ")</f>
        <v>0.69182389937106914</v>
      </c>
      <c r="C18" s="498">
        <f>IF(ISNUMBER(NºAsuntos!I18/NºAsuntos!G18),NºAsuntos!I18/NºAsuntos!G18," - ")</f>
        <v>1.8272727272727274</v>
      </c>
      <c r="D18" s="499">
        <f>IF(ISNUMBER('Resol  Asuntos'!D18/NºAsuntos!G18),'Resol  Asuntos'!D18/NºAsuntos!G18," - ")</f>
        <v>4.5454545454545456E-2</v>
      </c>
      <c r="E18" s="500">
        <f>IF(ISNUMBER((NºAsuntos!C18+NºAsuntos!E18)/NºAsuntos!G18),(NºAsuntos!C18+NºAsuntos!E18)/NºAsuntos!G18," - ")</f>
        <v>2.7727272727272729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0.87509184423218223</v>
      </c>
      <c r="C23" s="1156">
        <f>IF(ISNUMBER(NºAsuntos!I23/NºAsuntos!G23),NºAsuntos!I23/NºAsuntos!G23," - ")</f>
        <v>1.1125104953820319</v>
      </c>
      <c r="D23" s="1159">
        <f>IF(ISNUMBER('Resol  Asuntos'!D23/NºAsuntos!G23),'Resol  Asuntos'!D23/NºAsuntos!G23," - ")</f>
        <v>9.5717884130982367E-2</v>
      </c>
      <c r="E23" s="1158">
        <f>IF(ISNUMBER((NºAsuntos!C23+NºAsuntos!E23)/NºAsuntos!G23),(NºAsuntos!C23+NºAsuntos!E23)/NºAsuntos!G23," - ")</f>
        <v>2.09823677581864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0.87081174438687392</v>
      </c>
      <c r="C31" s="1099">
        <f>IF(ISNUMBER(NºAsuntos!I31/NºAsuntos!G31),NºAsuntos!I31/NºAsuntos!G31," - ")</f>
        <v>2.1959539865132882</v>
      </c>
      <c r="D31" s="1100">
        <f>IF(ISNUMBER('Resol  Asuntos'!D31/NºAsuntos!G31),'Resol  Asuntos'!D31/NºAsuntos!G31," - ")</f>
        <v>0.13169377231257437</v>
      </c>
      <c r="E31" s="1101">
        <f>IF(ISNUMBER((NºAsuntos!C31+NºAsuntos!E31)/NºAsuntos!G31),(NºAsuntos!C31+NºAsuntos!E31)/NºAsuntos!G31," - ")</f>
        <v>3.2431574771915908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zbrzaEGvIbRrlMwaSlHonjCku+FbfI+k+1VsrgWD/vijZwAkSVc0iy2/135+VciSO1Bl2qCsXGSIKb69uaduw==" saltValue="/lGWUrBLojhL3Du7EgDrC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COLMENAR VIEJO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53</v>
      </c>
      <c r="G10" s="373">
        <f>IF(ISNUMBER(Datos!I10),Datos!I10," - ")</f>
        <v>69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55</v>
      </c>
      <c r="AB10" s="374">
        <f>IF(ISNUMBER(Datos!R10),Datos!R10," - ")</f>
        <v>25</v>
      </c>
      <c r="AC10" s="374">
        <f t="shared" ref="AC10:AC13" si="1">IF(ISNUMBER(AA10+AB10),AA10+AB10," - ")</f>
        <v>80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0.6</v>
      </c>
      <c r="AM10" s="284">
        <f>IF(ISNUMBER(((NºAsuntos!I10/NºAsuntos!G10)*11)/factor_trimestre),((NºAsuntos!I10/NºAsuntos!G10)*11)/factor_trimestre," - ")</f>
        <v>36.666666666666664</v>
      </c>
      <c r="AN10" s="267">
        <f>IF(ISNUMBER('Resol  Asuntos'!D10/NºAsuntos!G10),'Resol  Asuntos'!D10/NºAsuntos!G10," - ")</f>
        <v>1</v>
      </c>
      <c r="AO10" s="268">
        <f>IF(ISNUMBER((NºAsuntos!C10+NºAsuntos!E10)/NºAsuntos!G10),(NºAsuntos!C10+NºAsuntos!E10)/NºAsuntos!G10," - ")</f>
        <v>24.666666666666668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220</v>
      </c>
      <c r="Y12" s="374">
        <f t="shared" si="0"/>
        <v>220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5628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215</v>
      </c>
      <c r="AJ12" s="243" t="str">
        <f>IF(ISNUMBER(Datos!BW12),Datos!BW12," - ")</f>
        <v xml:space="preserve"> - </v>
      </c>
      <c r="AK12" s="242" t="str">
        <f>IF(ISNUMBER(Datos!BX12),Datos!BX12," - ")</f>
        <v xml:space="preserve"> - </v>
      </c>
      <c r="AL12" s="266">
        <f>IF(ISNUMBER(NºAsuntos!G12/NºAsuntos!E12),NºAsuntos!G12/NºAsuntos!E12," - ")</f>
        <v>0.86788750817527793</v>
      </c>
      <c r="AM12" s="284">
        <f>IF(ISNUMBER(((NºAsuntos!I12/NºAsuntos!G12)*11)/factor_trimestre),((NºAsuntos!I12/NºAsuntos!G12)*11)/factor_trimestre," - ")</f>
        <v>6.2637528259231345</v>
      </c>
      <c r="AN12" s="267">
        <f>IF(ISNUMBER('Resol  Asuntos'!D12/NºAsuntos!G12),'Resol  Asuntos'!D12/NºAsuntos!G12," - ")</f>
        <v>0.16201959306706856</v>
      </c>
      <c r="AO12" s="268">
        <f>IF(ISNUMBER((NºAsuntos!C12+NºAsuntos!E12)/NºAsuntos!G12),(NºAsuntos!C12+NºAsuntos!E12)/NºAsuntos!G12," - ")</f>
        <v>4.2223059532780711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53</v>
      </c>
      <c r="G14" s="1163">
        <f t="shared" si="5"/>
        <v>69</v>
      </c>
      <c r="H14" s="1162">
        <f t="shared" si="5"/>
        <v>0</v>
      </c>
      <c r="I14" s="1164">
        <f t="shared" si="5"/>
        <v>0</v>
      </c>
      <c r="J14" s="1164">
        <f t="shared" si="5"/>
        <v>0</v>
      </c>
      <c r="K14" s="1164">
        <f t="shared" si="5"/>
        <v>0</v>
      </c>
      <c r="L14" s="1164">
        <f t="shared" si="5"/>
        <v>243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220</v>
      </c>
      <c r="Y14" s="1165">
        <f t="shared" si="6"/>
        <v>223</v>
      </c>
      <c r="Z14" s="1165">
        <f t="shared" si="6"/>
        <v>0</v>
      </c>
      <c r="AA14" s="1165">
        <f t="shared" si="6"/>
        <v>55</v>
      </c>
      <c r="AB14" s="1165">
        <f t="shared" si="6"/>
        <v>5653</v>
      </c>
      <c r="AC14" s="1165">
        <f t="shared" si="6"/>
        <v>80</v>
      </c>
      <c r="AD14" s="1165">
        <f t="shared" si="6"/>
        <v>0</v>
      </c>
      <c r="AE14" s="1169">
        <f t="shared" si="6"/>
        <v>0</v>
      </c>
      <c r="AF14" s="1162">
        <f t="shared" si="6"/>
        <v>0</v>
      </c>
      <c r="AG14" s="1170">
        <f t="shared" si="6"/>
        <v>0</v>
      </c>
      <c r="AH14" s="1167">
        <f t="shared" si="6"/>
        <v>0</v>
      </c>
      <c r="AI14" s="1162">
        <f t="shared" si="6"/>
        <v>218</v>
      </c>
      <c r="AJ14" s="1164">
        <f t="shared" si="6"/>
        <v>0</v>
      </c>
      <c r="AK14" s="1167">
        <f>SUBTOTAL(9,AK9:AK13)</f>
        <v>0</v>
      </c>
      <c r="AL14" s="1171">
        <f>IF(ISNUMBER(NºAsuntos!G14/NºAsuntos!E14),NºAsuntos!G14/NºAsuntos!E14," - ")</f>
        <v>0.86701434159061275</v>
      </c>
      <c r="AM14" s="1171">
        <f>IF(ISNUMBER(((NºAsuntos!I14/NºAsuntos!G14)*11)/factor_trimestre),((NºAsuntos!I14/NºAsuntos!G14)*11)/factor_trimestre," - ")</f>
        <v>6.3323308270676684</v>
      </c>
      <c r="AN14" s="1172">
        <f>IF(ISNUMBER('Resol  Asuntos'!D14/NºAsuntos!G14),'Resol  Asuntos'!D14/NºAsuntos!G14," - ")</f>
        <v>0.16390977443609023</v>
      </c>
      <c r="AO14" s="1173">
        <f>IF(ISNUMBER((NºAsuntos!C14+NºAsuntos!E14)/NºAsuntos!G14),(NºAsuntos!C14+NºAsuntos!E14)/NºAsuntos!G14," - ")</f>
        <v>4.2684210526315791</v>
      </c>
      <c r="AP14" s="1174" t="str">
        <f t="shared" si="2"/>
        <v xml:space="preserve"> - </v>
      </c>
      <c r="AQ14" s="1174">
        <f>IF(ISNUMBER((H14-W14+K14)/(F14)),(H14-W14+K14)/(F14)," - ")</f>
        <v>-5.6603773584905662E-2</v>
      </c>
      <c r="AR14" s="1175">
        <f>IF(ISNUMBER((Datos!P14-Datos!Q14)/(Datos!R14-Datos!P14+Datos!Q14)),(Datos!P14-Datos!Q14)/(Datos!R14-Datos!P14+Datos!Q14)," - ")</f>
        <v>4.0852575488454709E-3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1003</v>
      </c>
      <c r="G17" s="373">
        <f>IF(ISNUMBER(IF(D_I="SI",Datos!I17,Datos!I17+Datos!AC17)),IF(D_I="SI",Datos!I17,Datos!I17+Datos!AC17)," - ")</f>
        <v>992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1081</v>
      </c>
      <c r="X17" s="240">
        <f>IF(ISNUMBER(Datos!Q17),Datos!Q17," - ")</f>
        <v>30</v>
      </c>
      <c r="Y17" s="374">
        <f t="shared" ref="Y17:Y22" si="9">SUM(W17:X17)</f>
        <v>1111</v>
      </c>
      <c r="Z17" s="375" t="str">
        <f>IF(ISNUMBER(Datos!CC17),Datos!CC17," - ")</f>
        <v xml:space="preserve"> - </v>
      </c>
      <c r="AA17" s="372">
        <f>IF(ISNUMBER(IF(D_I="SI",Datos!L17,Datos!L17+Datos!AF17)),IF(D_I="SI",Datos!L17,Datos!L17+Datos!AF17)," - ")</f>
        <v>1124</v>
      </c>
      <c r="AB17" s="374">
        <f>IF(ISNUMBER(Datos!R17),Datos!R17," - ")</f>
        <v>255</v>
      </c>
      <c r="AC17" s="374">
        <f t="shared" si="8"/>
        <v>1379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109</v>
      </c>
      <c r="AJ17" s="245" t="str">
        <f>IF(ISNUMBER(Datos!BW17),Datos!BW17," - ")</f>
        <v xml:space="preserve"> - </v>
      </c>
      <c r="AK17" s="246" t="str">
        <f>IF(ISNUMBER(Datos!BX17),Datos!BX17," - ")</f>
        <v xml:space="preserve"> - </v>
      </c>
      <c r="AL17" s="266">
        <f>IF(ISNUMBER(NºAsuntos!G17/NºAsuntos!E17),NºAsuntos!G17/NºAsuntos!E17," - ")</f>
        <v>0.89933444259567386</v>
      </c>
      <c r="AM17" s="284">
        <f>IF(ISNUMBER(((NºAsuntos!I17/NºAsuntos!G17)*11)/factor_trimestre),((NºAsuntos!I17/NºAsuntos!G17)*11)/factor_trimestre," - ")</f>
        <v>2.0795559666975025</v>
      </c>
      <c r="AN17" s="267">
        <f>IF(ISNUMBER('Resol  Asuntos'!D17/NºAsuntos!G17),'Resol  Asuntos'!D17/NºAsuntos!G17," - ")</f>
        <v>0.10083256244218317</v>
      </c>
      <c r="AO17" s="268">
        <f>IF(ISNUMBER((NºAsuntos!C17+NºAsuntos!E17)/NºAsuntos!G17),(NºAsuntos!C17+NºAsuntos!E17)/NºAsuntos!G17," - ")</f>
        <v>2.0296022201665127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110</v>
      </c>
      <c r="X18" s="240">
        <f>IF(ISNUMBER(Datos!Q18),Datos!Q18," - ")</f>
        <v>2</v>
      </c>
      <c r="Y18" s="374">
        <f t="shared" si="9"/>
        <v>112</v>
      </c>
      <c r="Z18" s="375" t="str">
        <f>IF(ISNUMBER(Datos!CC18),Datos!CC18," - ")</f>
        <v xml:space="preserve"> - </v>
      </c>
      <c r="AA18" s="372">
        <f>IF(ISNUMBER(Datos!L18),Datos!L18,"-")</f>
        <v>201</v>
      </c>
      <c r="AB18" s="374">
        <f>IF(ISNUMBER(Datos!R18),Datos!R18," - ")</f>
        <v>6</v>
      </c>
      <c r="AC18" s="374">
        <f t="shared" si="8"/>
        <v>207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0.69182389937106914</v>
      </c>
      <c r="AM18" s="284">
        <f>IF(ISNUMBER(((NºAsuntos!I18/NºAsuntos!G18)*11)/factor_trimestre),((NºAsuntos!I18/NºAsuntos!G18)*11)/factor_trimestre," - ")</f>
        <v>3.6545454545454548</v>
      </c>
      <c r="AN18" s="267">
        <f>IF(ISNUMBER('Resol  Asuntos'!D18/NºAsuntos!G18),'Resol  Asuntos'!D18/NºAsuntos!G18," - ")</f>
        <v>4.5454545454545456E-2</v>
      </c>
      <c r="AO18" s="268">
        <f>IF(ISNUMBER((NºAsuntos!C18+NºAsuntos!E18)/NºAsuntos!G18),(NºAsuntos!C18+NºAsuntos!E18)/NºAsuntos!G18," - ")</f>
        <v>2.7727272727272729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1003</v>
      </c>
      <c r="G23" s="1163">
        <f>SUBTOTAL(9,G16:G22)</f>
        <v>1138</v>
      </c>
      <c r="H23" s="1162">
        <f t="shared" ref="H23:O23" si="13">SUBTOTAL(9,H15:H22)</f>
        <v>0</v>
      </c>
      <c r="I23" s="1164">
        <f t="shared" si="13"/>
        <v>0</v>
      </c>
      <c r="J23" s="1164">
        <f t="shared" si="13"/>
        <v>0</v>
      </c>
      <c r="K23" s="1164">
        <f t="shared" si="13"/>
        <v>0</v>
      </c>
      <c r="L23" s="1164">
        <f t="shared" si="13"/>
        <v>38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1191</v>
      </c>
      <c r="X23" s="1164">
        <f t="shared" si="14"/>
        <v>32</v>
      </c>
      <c r="Y23" s="1165">
        <f t="shared" si="14"/>
        <v>1223</v>
      </c>
      <c r="Z23" s="1165">
        <f t="shared" si="14"/>
        <v>0</v>
      </c>
      <c r="AA23" s="1165">
        <f t="shared" si="14"/>
        <v>1325</v>
      </c>
      <c r="AB23" s="1165">
        <f t="shared" si="14"/>
        <v>261</v>
      </c>
      <c r="AC23" s="1165">
        <f t="shared" si="14"/>
        <v>1586</v>
      </c>
      <c r="AD23" s="1165">
        <f t="shared" si="14"/>
        <v>0</v>
      </c>
      <c r="AE23" s="1169">
        <f t="shared" si="14"/>
        <v>0</v>
      </c>
      <c r="AF23" s="1162">
        <f t="shared" si="14"/>
        <v>0</v>
      </c>
      <c r="AG23" s="1170">
        <f t="shared" si="14"/>
        <v>0</v>
      </c>
      <c r="AH23" s="1167">
        <f t="shared" si="14"/>
        <v>0</v>
      </c>
      <c r="AI23" s="1162">
        <f t="shared" si="14"/>
        <v>114</v>
      </c>
      <c r="AJ23" s="1164">
        <f t="shared" si="14"/>
        <v>0</v>
      </c>
      <c r="AK23" s="1167">
        <f t="shared" si="14"/>
        <v>0</v>
      </c>
      <c r="AL23" s="1171">
        <f>IF(ISNUMBER(NºAsuntos!G23/NºAsuntos!E23),NºAsuntos!G23/NºAsuntos!E23," - ")</f>
        <v>0.87509184423218223</v>
      </c>
      <c r="AM23" s="1171">
        <f>IF(ISNUMBER(((NºAsuntos!I23/NºAsuntos!G23)*11)/factor_trimestre),((NºAsuntos!I23/NºAsuntos!G23)*11)/factor_trimestre," - ")</f>
        <v>2.2250209907640639</v>
      </c>
      <c r="AN23" s="1172">
        <f>IF(ISNUMBER('Resol  Asuntos'!D23/NºAsuntos!G23),'Resol  Asuntos'!D23/NºAsuntos!G23," - ")</f>
        <v>9.5717884130982367E-2</v>
      </c>
      <c r="AO23" s="1173">
        <f>IF(ISNUMBER((NºAsuntos!C23+NºAsuntos!E23)/NºAsuntos!G23),(NºAsuntos!C23+NºAsuntos!E23)/NºAsuntos!G23," - ")</f>
        <v>2.09823677581864</v>
      </c>
      <c r="AP23" s="1174" t="str">
        <f t="shared" si="2"/>
        <v xml:space="preserve"> - </v>
      </c>
      <c r="AQ23" s="1174">
        <f>IF(ISNUMBER((H23-W23+K23)/(F23)),(H23-W23+K23)/(F23)," - ")</f>
        <v>-1.1874376869391825</v>
      </c>
      <c r="AR23" s="1175">
        <f>IF(ISNUMBER((Datos!P23-Datos!Q23)/(Datos!R23-Datos!P23+Datos!Q23)),(Datos!P23-Datos!Q23)/(Datos!R23-Datos!P23+Datos!Q23)," - ")</f>
        <v>2.3529411764705882E-2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1056</v>
      </c>
      <c r="G31" s="1118">
        <f t="shared" si="20"/>
        <v>1207</v>
      </c>
      <c r="H31" s="1117">
        <f t="shared" si="20"/>
        <v>0</v>
      </c>
      <c r="I31" s="1119">
        <f t="shared" si="20"/>
        <v>0</v>
      </c>
      <c r="J31" s="1119">
        <f t="shared" si="20"/>
        <v>0</v>
      </c>
      <c r="K31" s="1180">
        <f t="shared" si="20"/>
        <v>0</v>
      </c>
      <c r="L31" s="1119">
        <f t="shared" si="20"/>
        <v>281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1194</v>
      </c>
      <c r="X31" s="1118">
        <f t="shared" si="21"/>
        <v>252</v>
      </c>
      <c r="Y31" s="1125">
        <f t="shared" si="21"/>
        <v>1446</v>
      </c>
      <c r="Z31" s="1125">
        <f t="shared" si="21"/>
        <v>0</v>
      </c>
      <c r="AA31" s="1125">
        <f t="shared" si="21"/>
        <v>1380</v>
      </c>
      <c r="AB31" s="1125">
        <f t="shared" si="21"/>
        <v>5914</v>
      </c>
      <c r="AC31" s="1125">
        <f t="shared" si="21"/>
        <v>1666</v>
      </c>
      <c r="AD31" s="1125">
        <f t="shared" si="21"/>
        <v>0</v>
      </c>
      <c r="AE31" s="1127">
        <f t="shared" si="21"/>
        <v>0</v>
      </c>
      <c r="AF31" s="1128">
        <f t="shared" si="21"/>
        <v>0</v>
      </c>
      <c r="AG31" s="1129">
        <f t="shared" si="21"/>
        <v>0</v>
      </c>
      <c r="AH31" s="1127">
        <f t="shared" si="21"/>
        <v>0</v>
      </c>
      <c r="AI31" s="1117">
        <f t="shared" si="21"/>
        <v>332</v>
      </c>
      <c r="AJ31" s="1117">
        <f t="shared" si="21"/>
        <v>0</v>
      </c>
      <c r="AK31" s="1127">
        <f t="shared" si="21"/>
        <v>0</v>
      </c>
      <c r="AL31" s="1183">
        <f>IF(ISNUMBER(NºAsuntos!G31/NºAsuntos!E31),NºAsuntos!G31/NºAsuntos!E31," - ")</f>
        <v>0.87081174438687392</v>
      </c>
      <c r="AM31" s="1184">
        <f>IF(ISNUMBER(((NºAsuntos!I31/NºAsuntos!G31)*11)/factor_trimestre),((NºAsuntos!I31/NºAsuntos!G31)*11)/factor_trimestre," - ")</f>
        <v>4.3919079730265764</v>
      </c>
      <c r="AN31" s="1184">
        <f>IF(ISNUMBER('Resol  Asuntos'!D31/NºAsuntos!G31),'Resol  Asuntos'!D31/NºAsuntos!G31," - ")</f>
        <v>0.13169377231257437</v>
      </c>
      <c r="AO31" s="1185">
        <f>IF(ISNUMBER((NºAsuntos!C31+NºAsuntos!E31)/NºAsuntos!G31),(NºAsuntos!C31+NºAsuntos!E31)/NºAsuntos!G31," - ")</f>
        <v>3.2431574771915908</v>
      </c>
      <c r="AP31" s="1186" t="str">
        <f t="shared" si="2"/>
        <v xml:space="preserve"> - </v>
      </c>
      <c r="AQ31" s="1187">
        <f>IF(OR(ISNUMBER(FIND("01",Criterios!A8,1)),ISNUMBER(FIND("02",Criterios!A8,1)),ISNUMBER(FIND("03",Criterios!A8,1)),ISNUMBER(FIND("04",Criterios!A8,1))),(I31-W31+K31)/(F31-K31),(H31-W31+K31)/(F31-K31))</f>
        <v>-1.1306818181818181</v>
      </c>
      <c r="AR31" s="1188">
        <f>IF(ISNUMBER((Datos!P31-Datos!Q31)/(Datos!R31-Datos!P31+Datos!Q31)),(Datos!P31-Datos!Q31)/(Datos!R31-Datos!P31+Datos!Q31)," - ")</f>
        <v>4.9277824978759561E-3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344.85714285714283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504.81917554704677</v>
      </c>
      <c r="G33" s="277">
        <f>IF(ISNUMBER(STDEV(G8:G30)),STDEV(G8:G30),"-")</f>
        <v>496.22925769292988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545.36086785767475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95.280038383103701</v>
      </c>
      <c r="AJ33" s="276">
        <f t="shared" si="25"/>
        <v>0</v>
      </c>
      <c r="AK33" s="278">
        <f t="shared" si="25"/>
        <v>0</v>
      </c>
      <c r="AL33" s="273">
        <f t="shared" si="25"/>
        <v>0.12353752454256574</v>
      </c>
      <c r="AM33" s="274">
        <f t="shared" si="25"/>
        <v>13.421509937655857</v>
      </c>
      <c r="AN33" s="274">
        <f t="shared" si="25"/>
        <v>0.3646301243965937</v>
      </c>
      <c r="AO33" s="275">
        <f t="shared" si="25"/>
        <v>8.8686143650763505</v>
      </c>
      <c r="AP33" s="317" t="str">
        <f t="shared" si="25"/>
        <v>-</v>
      </c>
      <c r="AQ33" s="318">
        <f t="shared" si="25"/>
        <v>0.79962032852852993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37bc3OuldACfMOUfXEd+5QDOToUjnOLVkfL4DXQKSPuREUKRhJ2sgV1VjKjcHixpmJK5U5JCk1emLJcD4PFtg==" saltValue="xVrxP3QKjpOrrg2u9HV62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COLMENAR VIEJO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-0.20289855072463769</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0.24277456647398843</v>
      </c>
      <c r="I12" s="395">
        <f>IF(ISNUMBER((Tasas!C12-Datos!BE12)/Datos!BE12),(Tasas!C12-Datos!BE12)/Datos!BE12," - ")</f>
        <v>0.29026329102232806</v>
      </c>
      <c r="J12" s="394">
        <f>IF(ISNUMBER((Tasas!D12-Datos!BF12)/Datos!BF12),(Tasas!D12-Datos!BF12)/Datos!BF12," - ")</f>
        <v>-0.71094453782123712</v>
      </c>
      <c r="K12" s="396">
        <f>IF(ISNUMBER((Tasas!E12-Datos!BG12)/Datos!BG12),(Tasas!E12-Datos!BG12)/Datos!BG12," - ")</f>
        <v>0.16247030992149425</v>
      </c>
      <c r="M12" t="e">
        <f>IF(Monitorios="SI",Datos!CE12,0)</f>
        <v>#REF!</v>
      </c>
      <c r="N12" t="e">
        <f>IF(Monitorios="SI",Datos!CF12,0)</f>
        <v>#REF!</v>
      </c>
      <c r="O12" t="e">
        <f>IF(Monitorios="SI",Datos!CG12,0)</f>
        <v>#REF!</v>
      </c>
      <c r="P12" t="e">
        <f>IF(Monitorios="SI",Datos!CH12,0)</f>
        <v>#REF!</v>
      </c>
      <c r="Q12">
        <f>IF(J_V="SI",0,Datos!AG12)</f>
        <v>318</v>
      </c>
      <c r="R12">
        <f>IF(J_V="SI",0,Datos!AH12)</f>
        <v>144</v>
      </c>
      <c r="S12">
        <f>IF(J_V="SI",0,Datos!AI12)</f>
        <v>154</v>
      </c>
      <c r="T12">
        <f>IF(J_V="SI",0,Datos!AJ12)</f>
        <v>300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0.26011560693641617</v>
      </c>
      <c r="I14" s="402">
        <f>IF(ISNUMBER((Tasas!C14-Datos!BE14)/Datos!BE14),(Tasas!C14-Datos!BE14)/Datos!BE14," - ")</f>
        <v>0.27979192309826223</v>
      </c>
      <c r="J14" s="400">
        <f>IF(ISNUMBER((Tasas!D14-Datos!BF14)/Datos!BF14),(Tasas!D14-Datos!BF14)/Datos!BF14," - ")</f>
        <v>-0.70757230833416473</v>
      </c>
      <c r="K14" s="403">
        <f>IF(ISNUMBER((Tasas!E14-Datos!BG14)/Datos!BG14),(Tasas!E14-Datos!BG14)/Datos!BG14," - ")</f>
        <v>0.16026368991768164</v>
      </c>
      <c r="M14" t="e">
        <f>IF(Monitorios="SI",Datos!CE14,0)</f>
        <v>#REF!</v>
      </c>
      <c r="N14" t="e">
        <f>IF(Monitorios="SI",Datos!CF14,0)</f>
        <v>#REF!</v>
      </c>
      <c r="O14" t="e">
        <f>IF(Monitorios="SI",Datos!CG14,0)</f>
        <v>#REF!</v>
      </c>
      <c r="P14" t="e">
        <f>IF(Monitorios="SI",Datos!CH14,0)</f>
        <v>#REF!</v>
      </c>
      <c r="Q14">
        <f>IF(J_V="SI",0,Datos!AG14)</f>
        <v>318</v>
      </c>
      <c r="R14">
        <f>IF(J_V="SI",0,Datos!AH14)</f>
        <v>144</v>
      </c>
      <c r="S14">
        <f>IF(J_V="SI",0,Datos!AI14)</f>
        <v>154</v>
      </c>
      <c r="T14">
        <f>IF(J_V="SI",0,Datos!AJ14)</f>
        <v>300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-1.4895729890764648E-2</v>
      </c>
      <c r="E17" s="393">
        <f>IF(ISNUMBER(
   IF(D_I="SI",(Datos!J17-Datos!T17)/Datos!T17,(Datos!J17+Datos!AD17-(Datos!T17+Datos!AL17))/(Datos!T17+Datos!AL17))
     ),IF(D_I="SI",(Datos!J17-Datos!T17)/Datos!T17,(Datos!J17+Datos!AD17-(Datos!T17+Datos!AL17))/(Datos!T17+Datos!AL17))," - ")</f>
        <v>-4.9668874172185433E-3</v>
      </c>
      <c r="F17" s="393">
        <f>IF(ISNUMBER(
   IF(D_I="SI",(Datos!K17-Datos!U17)/Datos!U17,(Datos!K17+Datos!AE17-(Datos!U17+Datos!AM17))/(Datos!U17+Datos!AM17))
     ),IF(D_I="SI",(Datos!K17-Datos!U17)/Datos!U17,(Datos!K17+Datos!AE17-(Datos!U17+Datos!AM17))/(Datos!U17+Datos!AM17))," - ")</f>
        <v>-0.11101973684210527</v>
      </c>
      <c r="G17" s="394">
        <f>IF(ISNUMBER(
   IF(D_I="SI",(Datos!L17-Datos!V17)/Datos!V17,(Datos!L17+Datos!AF17-(Datos!V17+Datos!AN17))/(Datos!V17+Datos!AN17))
     ),IF(D_I="SI",(Datos!L17-Datos!V17)/Datos!V17,(Datos!L17+Datos!AF17-(Datos!V17+Datos!AN17))/(Datos!V17+Datos!AN17))," - ")</f>
        <v>9.23226433430515E-2</v>
      </c>
      <c r="H17" s="244">
        <f>IF(ISNUMBER((Datos!M17-Datos!W17)/Datos!W17),(Datos!M17-Datos!W17)/Datos!W17," - ")</f>
        <v>-6.8376068376068383E-2</v>
      </c>
      <c r="I17" s="395">
        <f>IF(ISNUMBER((Tasas!C17-Datos!BE17)/Datos!BE17),(Tasas!C17-Datos!BE17)/Datos!BE17," - ")</f>
        <v>0.22873666448210067</v>
      </c>
      <c r="J17" s="394">
        <f>IF(ISNUMBER((Tasas!D17-Datos!BF17)/Datos!BF17),(Tasas!D17-Datos!BF17)/Datos!BF17," - ")</f>
        <v>4.7969195980296822E-2</v>
      </c>
      <c r="K17" s="396">
        <f>IF(ISNUMBER((Tasas!E17-Datos!BG17)/Datos!BG17),(Tasas!E17-Datos!BG17)/Datos!BG17," - ")</f>
        <v>0.11421954840743991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1.1470588235294117</v>
      </c>
      <c r="E18" s="393">
        <f>IF(ISNUMBER(
   IF(D_I="SI",(Datos!J18-Datos!T18)/Datos!T18,(Datos!J18+Datos!AD18-(Datos!T18+Datos!AL18))/(Datos!T18+Datos!AL18))
     ),IF(D_I="SI",(Datos!J18-Datos!T18)/Datos!T18,(Datos!J18+Datos!AD18-(Datos!T18+Datos!AL18))/(Datos!T18+Datos!AL18))," - ")</f>
        <v>5.9130434782608692</v>
      </c>
      <c r="F18" s="393">
        <f>IF(ISNUMBER(
   IF(D_I="SI",(Datos!K18-Datos!U18)/Datos!U18,(Datos!K18+Datos!AE18-(Datos!U18+Datos!AM18))/(Datos!U18+Datos!AM18))
     ),IF(D_I="SI",(Datos!K18-Datos!U18)/Datos!U18,(Datos!K18+Datos!AE18-(Datos!U18+Datos!AM18))/(Datos!U18+Datos!AM18))," - ")</f>
        <v>4.7894736842105265</v>
      </c>
      <c r="G18" s="394">
        <f>IF(ISNUMBER(
   IF(D_I="SI",(Datos!L18-Datos!V18)/Datos!V18,(Datos!L18+Datos!AF18-(Datos!V18+Datos!AN18))/(Datos!V18+Datos!AN18))
     ),IF(D_I="SI",(Datos!L18-Datos!V18)/Datos!V18,(Datos!L18+Datos!AF18-(Datos!V18+Datos!AN18))/(Datos!V18+Datos!AN18))," - ")</f>
        <v>1.7162162162162162</v>
      </c>
      <c r="H18" s="244">
        <f>IF(ISNUMBER((Datos!M18-Datos!W18)/Datos!W18),(Datos!M18-Datos!W18)/Datos!W18," - ")</f>
        <v>4</v>
      </c>
      <c r="I18" s="395">
        <f>IF(ISNUMBER((Tasas!C18-Datos!BE18)/Datos!BE18),(Tasas!C18-Datos!BE18)/Datos!BE18," - ")</f>
        <v>-0.53083538083538073</v>
      </c>
      <c r="J18" s="394">
        <f>IF(ISNUMBER((Tasas!D18-Datos!BF18)/Datos!BF18),(Tasas!D18-Datos!BF18)/Datos!BF18," - ")</f>
        <v>-0.1363636363636363</v>
      </c>
      <c r="K18" s="396">
        <f>IF(ISNUMBER((Tasas!E18-Datos!BG18)/Datos!BG18),(Tasas!E18-Datos!BG18)/Datos!BG18," - ")</f>
        <v>-0.42107892107892109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5.8604651162790698E-2</v>
      </c>
      <c r="E23" s="399">
        <f>IF(ISNUMBER(
   IF(D_I="SI",(Datos!J23-Datos!T23)/Datos!T23,(Datos!J23+Datos!AD23-(Datos!T23+Datos!AL23))/(Datos!T23+Datos!AL23))
     ),IF(D_I="SI",(Datos!J23-Datos!T23)/Datos!T23,(Datos!J23+Datos!AD23-(Datos!T23+Datos!AL23))/(Datos!T23+Datos!AL23))," - ")</f>
        <v>0.10560519902518278</v>
      </c>
      <c r="F23" s="399">
        <f>IF(ISNUMBER(
   IF(D_I="SI",(Datos!K23-Datos!U23)/Datos!U23,(Datos!K23+Datos!AE23-(Datos!U23+Datos!AM23))/(Datos!U23+Datos!AM23))
     ),IF(D_I="SI",(Datos!K23-Datos!U23)/Datos!U23,(Datos!K23+Datos!AE23-(Datos!U23+Datos!AM23))/(Datos!U23+Datos!AM23))," - ")</f>
        <v>-3.5627530364372467E-2</v>
      </c>
      <c r="G23" s="400">
        <f>IF(ISNUMBER(
   IF(D_I="SI",(Datos!L23-Datos!V23)/Datos!V23,(Datos!L23+Datos!AF23-(Datos!V23+Datos!AN23))/(Datos!V23+Datos!AN23))
     ),IF(D_I="SI",(Datos!L23-Datos!V23)/Datos!V23,(Datos!L23+Datos!AF23-(Datos!V23+Datos!AN23))/(Datos!V23+Datos!AN23))," - ")</f>
        <v>0.20126926563916592</v>
      </c>
      <c r="H23" s="401">
        <f>IF(ISNUMBER((Datos!M23-Datos!W23)/Datos!W23),(Datos!M23-Datos!W23)/Datos!W23," - ")</f>
        <v>-3.3898305084745763E-2</v>
      </c>
      <c r="I23" s="402">
        <f>IF(ISNUMBER((Tasas!C23-Datos!BE23)/Datos!BE23),(Tasas!C23-Datos!BE23)/Datos!BE23," - ")</f>
        <v>0.2456486507677329</v>
      </c>
      <c r="J23" s="400">
        <f>IF(ISNUMBER((Tasas!D23-Datos!BF23)/Datos!BF23),(Tasas!D23-Datos!BF23)/Datos!BF23," - ")</f>
        <v>1.7931093369764424E-3</v>
      </c>
      <c r="K23" s="403">
        <f>IF(ISNUMBER((Tasas!E23-Datos!BG23)/Datos!BG23),(Tasas!E23-Datos!BG23)/Datos!BG23," - ")</f>
        <v>0.12373045018908085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7.3155862629546833E-2</v>
      </c>
      <c r="E31" s="409">
        <f>IF(ISNUMBER(
   IF(J_V="SI",(Datos!J31-Datos!T31)/Datos!T31,(Datos!J31+Datos!Z31-(Datos!T31+Datos!AH31))/(Datos!T31+Datos!AH31))
     ),IF(J_V="SI",(Datos!J31-Datos!T31)/Datos!T31,(Datos!J31+Datos!Z31-(Datos!T31+Datos!AH31))/(Datos!T31+Datos!AH31))," - ")</f>
        <v>2.4416135881104035E-2</v>
      </c>
      <c r="F31" s="409">
        <f>IF(ISNUMBER(
   IF(J_V="SI",(Datos!K31-Datos!U31)/Datos!U31,(Datos!K31+Datos!AA31-(Datos!U31+Datos!AI31))/(Datos!U31+Datos!AI31))
     ),IF(J_V="SI",(Datos!K31-Datos!U31)/Datos!U31,(Datos!K31+Datos!AA31-(Datos!U31+Datos!AI31))/(Datos!U31+Datos!AI31))," - ")</f>
        <v>-7.1112748710390569E-2</v>
      </c>
      <c r="G31" s="410">
        <f>IF(ISNUMBER(
   IF(J_V="SI",(Datos!L31-Datos!V31)/Datos!V31,(Datos!L31+Datos!AB31-(Datos!V31+Datos!AJ31))/(Datos!V31+Datos!AJ31))
     ),IF(J_V="SI",(Datos!L31-Datos!V31)/Datos!V31,(Datos!L31+Datos!AB31-(Datos!V31+Datos!AJ31))/(Datos!V31+Datos!AJ31))," - ")</f>
        <v>0.16253674926501471</v>
      </c>
      <c r="H31" s="411">
        <f>IF(ISNUMBER((Datos!M31-Datos!W31)/Datos!W31),(Datos!M31-Datos!W31)/Datos!W31," - ")</f>
        <v>0.14089347079037801</v>
      </c>
      <c r="I31" s="408">
        <f>IF(ISNUMBER((Tasas!C31-Datos!BE31)/Datos!BE31),(Tasas!C31-Datos!BE31)/Datos!BE31," - ")</f>
        <v>0.25153698433369681</v>
      </c>
      <c r="J31" s="409">
        <f>IF(ISNUMBER((Tasas!D31-Datos!BF31)/Datos!BF31),(Tasas!D31-Datos!BF31)/Datos!BF31," - ")</f>
        <v>-0.62257983309785969</v>
      </c>
      <c r="K31" s="410">
        <f>IF(ISNUMBER((Tasas!E31-Datos!BG31)/Datos!BG31),(Tasas!E31-Datos!BG31)/Datos!BG31," - ")</f>
        <v>0.13617263367729157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0.56713266438247456</v>
      </c>
      <c r="E33" s="303">
        <f t="shared" si="1"/>
        <v>3.3852969402428461</v>
      </c>
      <c r="F33" s="303">
        <f t="shared" si="1"/>
        <v>2.80779039713526</v>
      </c>
      <c r="G33" s="304">
        <f t="shared" si="1"/>
        <v>0.86011010106713925</v>
      </c>
      <c r="H33" s="310">
        <f t="shared" si="1"/>
        <v>1.7506670241053499</v>
      </c>
      <c r="I33" s="302">
        <f t="shared" si="1"/>
        <v>0.35504512793264892</v>
      </c>
      <c r="J33" s="303">
        <f t="shared" si="1"/>
        <v>0.37878881393098274</v>
      </c>
      <c r="K33" s="304">
        <f t="shared" si="1"/>
        <v>0.25191562263317419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lpvbpifFwiZ9ng2gjTApmwAFmaR2beqZ54W9y8m9pBdXnQc/sIBHoM3TPPwyjM0Ij5b03m+e7dppQA3rPlow==" saltValue="wHuYoQGEN8ly95tB5+/7P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